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imperiallondon.sharepoint.com/sites/FoNSE_Chemistry_NextCOMP/Shared Documents/NextCOMP Management/External Invited Talks/Zheng Ming Huang/"/>
    </mc:Choice>
  </mc:AlternateContent>
  <bookViews>
    <workbookView xWindow="360" yWindow="60" windowWidth="23250" windowHeight="13170"/>
  </bookViews>
  <sheets>
    <sheet name="Licence CC BY-NC-SA" sheetId="4" r:id="rId1"/>
    <sheet name="Sheet1" sheetId="1" r:id="rId2"/>
    <sheet name="Sheet2" sheetId="2" r:id="rId3"/>
    <sheet name="Sheet3" sheetId="3" r:id="rId4"/>
  </sheets>
  <calcPr calcId="162913"/>
</workbook>
</file>

<file path=xl/calcChain.xml><?xml version="1.0" encoding="utf-8"?>
<calcChain xmlns="http://schemas.openxmlformats.org/spreadsheetml/2006/main">
  <c r="C28" i="2" l="1"/>
  <c r="B28" i="2"/>
  <c r="A28" i="2"/>
  <c r="A20" i="2"/>
  <c r="B20" i="2"/>
  <c r="B15" i="2"/>
  <c r="B13" i="2"/>
  <c r="C15" i="2"/>
  <c r="N8" i="2"/>
  <c r="B10" i="2"/>
  <c r="D5" i="2"/>
  <c r="I7" i="1"/>
  <c r="E23" i="1"/>
  <c r="E7" i="1"/>
  <c r="D17" i="1"/>
  <c r="D36" i="1"/>
  <c r="B30" i="1"/>
  <c r="B49" i="1"/>
  <c r="H11" i="1"/>
  <c r="H30" i="1"/>
  <c r="C30" i="1"/>
  <c r="C49" i="1"/>
  <c r="E14" i="1"/>
  <c r="E33" i="1"/>
  <c r="G7" i="1"/>
  <c r="F7" i="1"/>
  <c r="E17" i="1"/>
  <c r="E36" i="1"/>
  <c r="E55" i="1"/>
  <c r="F17" i="1"/>
  <c r="F36" i="1"/>
  <c r="F55" i="1"/>
  <c r="D20" i="1"/>
  <c r="D39" i="1"/>
  <c r="D58" i="1"/>
  <c r="O5" i="1"/>
  <c r="H7" i="1"/>
  <c r="G17" i="1"/>
  <c r="E20" i="1"/>
  <c r="E39" i="1"/>
  <c r="E58" i="1"/>
  <c r="J7" i="1"/>
  <c r="F23" i="1"/>
  <c r="F42" i="1"/>
  <c r="F61" i="1"/>
  <c r="B70" i="1"/>
  <c r="B69" i="1"/>
  <c r="E49" i="1"/>
  <c r="A30" i="1"/>
  <c r="E30" i="1"/>
  <c r="F11" i="1"/>
  <c r="G11" i="1"/>
  <c r="F14" i="1"/>
  <c r="E11" i="1"/>
  <c r="B7" i="1"/>
  <c r="P5" i="1"/>
  <c r="G2" i="1"/>
  <c r="A30" i="2"/>
  <c r="A10" i="2"/>
  <c r="A15" i="2"/>
  <c r="F33" i="1"/>
  <c r="E52" i="1"/>
  <c r="E42" i="1"/>
  <c r="G36" i="1"/>
  <c r="G55" i="1"/>
  <c r="C52" i="1"/>
  <c r="D55" i="1"/>
  <c r="C14" i="1"/>
  <c r="C17" i="1"/>
  <c r="C20" i="1"/>
  <c r="A14" i="1"/>
  <c r="B14" i="1"/>
  <c r="B17" i="1"/>
  <c r="B20" i="1"/>
  <c r="F30" i="1"/>
  <c r="G30" i="1"/>
  <c r="H49" i="1"/>
  <c r="F49" i="1"/>
  <c r="G49" i="1"/>
  <c r="A52" i="1"/>
  <c r="C33" i="1"/>
  <c r="C36" i="1"/>
  <c r="C39" i="1"/>
  <c r="B33" i="1"/>
  <c r="B36" i="1"/>
  <c r="B39" i="1"/>
  <c r="A33" i="1"/>
  <c r="A36" i="1"/>
  <c r="F20" i="1"/>
  <c r="F39" i="1"/>
  <c r="F58" i="1"/>
  <c r="A22" i="2"/>
  <c r="A13" i="2"/>
  <c r="A17" i="2"/>
  <c r="A25" i="2"/>
  <c r="A39" i="1"/>
  <c r="E61" i="1"/>
  <c r="C55" i="1"/>
  <c r="C58" i="1"/>
  <c r="B52" i="1"/>
  <c r="B55" i="1"/>
  <c r="B58" i="1"/>
  <c r="F52" i="1"/>
  <c r="A58" i="1"/>
  <c r="A17" i="1"/>
  <c r="A20" i="1"/>
  <c r="C64" i="1"/>
  <c r="D66" i="1"/>
  <c r="A61" i="1"/>
  <c r="B64" i="1"/>
  <c r="A23" i="1"/>
  <c r="B23" i="1"/>
  <c r="D23" i="1"/>
  <c r="C23" i="1"/>
  <c r="C26" i="1"/>
  <c r="B26" i="1"/>
  <c r="B45" i="1"/>
  <c r="A42" i="1"/>
  <c r="B42" i="1"/>
  <c r="D42" i="1"/>
  <c r="C42" i="1"/>
  <c r="C45" i="1"/>
  <c r="B61" i="1"/>
  <c r="D61" i="1"/>
  <c r="C61" i="1"/>
  <c r="A55" i="1"/>
  <c r="D65" i="1"/>
  <c r="F26" i="1"/>
  <c r="D26" i="1"/>
  <c r="A26" i="1"/>
  <c r="F45" i="1"/>
  <c r="E45" i="1"/>
  <c r="D45" i="1"/>
  <c r="A45" i="1"/>
  <c r="F64" i="1"/>
  <c r="D64" i="1"/>
  <c r="A64" i="1"/>
  <c r="E70" i="1"/>
  <c r="D69" i="1"/>
  <c r="C70" i="1"/>
  <c r="F70" i="1"/>
  <c r="D70" i="1"/>
  <c r="C69" i="1"/>
  <c r="E69" i="1"/>
  <c r="E64" i="1"/>
  <c r="E26" i="1"/>
  <c r="F69" i="1"/>
</calcChain>
</file>

<file path=xl/sharedStrings.xml><?xml version="1.0" encoding="utf-8"?>
<sst xmlns="http://schemas.openxmlformats.org/spreadsheetml/2006/main" count="266" uniqueCount="162">
  <si>
    <t>E11f</t>
    <phoneticPr fontId="1" type="noConversion"/>
  </si>
  <si>
    <t>U12f</t>
    <phoneticPr fontId="1" type="noConversion"/>
  </si>
  <si>
    <t>E22f</t>
    <phoneticPr fontId="1" type="noConversion"/>
  </si>
  <si>
    <t>U23f</t>
    <phoneticPr fontId="1" type="noConversion"/>
  </si>
  <si>
    <t>Em</t>
    <phoneticPr fontId="1" type="noConversion"/>
  </si>
  <si>
    <t>Um</t>
    <phoneticPr fontId="1" type="noConversion"/>
  </si>
  <si>
    <t>G23f</t>
    <phoneticPr fontId="1" type="noConversion"/>
  </si>
  <si>
    <t>G12f</t>
    <phoneticPr fontId="1" type="noConversion"/>
  </si>
  <si>
    <t>Sucm</t>
    <phoneticPr fontId="1" type="noConversion"/>
  </si>
  <si>
    <t>Susm</t>
    <phoneticPr fontId="1" type="noConversion"/>
  </si>
  <si>
    <t>VF</t>
    <phoneticPr fontId="1" type="noConversion"/>
  </si>
  <si>
    <t>beta</t>
    <phoneticPr fontId="1" type="noConversion"/>
  </si>
  <si>
    <t>alf</t>
    <phoneticPr fontId="1" type="noConversion"/>
  </si>
  <si>
    <t>Sucf</t>
    <phoneticPr fontId="1" type="noConversion"/>
  </si>
  <si>
    <t>Gm</t>
    <phoneticPr fontId="1" type="noConversion"/>
  </si>
  <si>
    <t>(Gpa)</t>
    <phoneticPr fontId="1" type="noConversion"/>
  </si>
  <si>
    <t>(GPa)</t>
    <phoneticPr fontId="1" type="noConversion"/>
  </si>
  <si>
    <t>(MPa)</t>
    <phoneticPr fontId="1" type="noConversion"/>
  </si>
  <si>
    <t>b</t>
    <phoneticPr fontId="1" type="noConversion"/>
  </si>
  <si>
    <t>a</t>
    <phoneticPr fontId="1" type="noConversion"/>
  </si>
  <si>
    <t>ctaf0</t>
    <phoneticPr fontId="1" type="noConversion"/>
  </si>
  <si>
    <t>K22c</t>
    <phoneticPr fontId="1" type="noConversion"/>
  </si>
  <si>
    <t>K12</t>
    <phoneticPr fontId="1" type="noConversion"/>
  </si>
  <si>
    <t>a11</t>
    <phoneticPr fontId="1" type="noConversion"/>
  </si>
  <si>
    <t>a12</t>
    <phoneticPr fontId="1" type="noConversion"/>
  </si>
  <si>
    <t>a22</t>
    <phoneticPr fontId="1" type="noConversion"/>
  </si>
  <si>
    <t>a66</t>
    <phoneticPr fontId="1" type="noConversion"/>
  </si>
  <si>
    <t>ss11</t>
    <phoneticPr fontId="1" type="noConversion"/>
  </si>
  <si>
    <t>ss22</t>
    <phoneticPr fontId="1" type="noConversion"/>
  </si>
  <si>
    <t>ss12</t>
    <phoneticPr fontId="1" type="noConversion"/>
  </si>
  <si>
    <t>ss11-I</t>
    <phoneticPr fontId="1" type="noConversion"/>
  </si>
  <si>
    <t>ss22-I</t>
    <phoneticPr fontId="1" type="noConversion"/>
  </si>
  <si>
    <t>ss12-I</t>
    <phoneticPr fontId="1" type="noConversion"/>
  </si>
  <si>
    <t>ss11f</t>
    <phoneticPr fontId="1" type="noConversion"/>
  </si>
  <si>
    <t>ss22f</t>
    <phoneticPr fontId="1" type="noConversion"/>
  </si>
  <si>
    <t>ss12f</t>
    <phoneticPr fontId="1" type="noConversion"/>
  </si>
  <si>
    <t>Vm</t>
    <phoneticPr fontId="1" type="noConversion"/>
  </si>
  <si>
    <t>K22</t>
    <phoneticPr fontId="1" type="noConversion"/>
  </si>
  <si>
    <t>K12</t>
    <phoneticPr fontId="1" type="noConversion"/>
  </si>
  <si>
    <t>ctaf</t>
    <phoneticPr fontId="1" type="noConversion"/>
  </si>
  <si>
    <t>ctaf1</t>
    <phoneticPr fontId="1" type="noConversion"/>
  </si>
  <si>
    <t>ss11Bm</t>
    <phoneticPr fontId="1" type="noConversion"/>
  </si>
  <si>
    <t>ss22Bm</t>
    <phoneticPr fontId="1" type="noConversion"/>
  </si>
  <si>
    <t>ss12Bm</t>
    <phoneticPr fontId="1" type="noConversion"/>
  </si>
  <si>
    <t>taonBm</t>
    <phoneticPr fontId="1" type="noConversion"/>
  </si>
  <si>
    <t>ss12eq</t>
    <phoneticPr fontId="1" type="noConversion"/>
  </si>
  <si>
    <t>Vm</t>
    <phoneticPr fontId="1" type="noConversion"/>
  </si>
  <si>
    <t>Vf</t>
    <phoneticPr fontId="1" type="noConversion"/>
  </si>
  <si>
    <t>Gm</t>
    <phoneticPr fontId="1" type="noConversion"/>
  </si>
  <si>
    <t>a</t>
    <phoneticPr fontId="1" type="noConversion"/>
  </si>
  <si>
    <t>b</t>
    <phoneticPr fontId="1" type="noConversion"/>
  </si>
  <si>
    <t>ssBmn1</t>
    <phoneticPr fontId="1" type="noConversion"/>
  </si>
  <si>
    <t>r</t>
    <phoneticPr fontId="1" type="noConversion"/>
  </si>
  <si>
    <t>delt</t>
    <phoneticPr fontId="1" type="noConversion"/>
  </si>
  <si>
    <t>delt1</t>
    <phoneticPr fontId="1" type="noConversion"/>
  </si>
  <si>
    <t xml:space="preserve">delt2 </t>
    <phoneticPr fontId="1" type="noConversion"/>
  </si>
  <si>
    <t>const</t>
    <phoneticPr fontId="1" type="noConversion"/>
  </si>
  <si>
    <t>catf0</t>
    <phoneticPr fontId="1" type="noConversion"/>
  </si>
  <si>
    <r>
      <t>f=</t>
    </r>
    <r>
      <rPr>
        <b/>
        <sz val="10"/>
        <color indexed="12"/>
        <rFont val="Times New Roman"/>
        <family val="1"/>
      </rPr>
      <t>catf1</t>
    </r>
    <r>
      <rPr>
        <sz val="10"/>
        <rFont val="Times New Roman"/>
        <family val="1"/>
      </rPr>
      <t>-</t>
    </r>
    <r>
      <rPr>
        <b/>
        <sz val="10"/>
        <color indexed="10"/>
        <rFont val="Times New Roman"/>
        <family val="1"/>
      </rPr>
      <t>ctaf1</t>
    </r>
    <phoneticPr fontId="1" type="noConversion"/>
  </si>
  <si>
    <t>cata</t>
    <phoneticPr fontId="1" type="noConversion"/>
  </si>
  <si>
    <t>c-cos</t>
    <phoneticPr fontId="1" type="noConversion"/>
  </si>
  <si>
    <t>c-sin</t>
    <phoneticPr fontId="1" type="noConversion"/>
  </si>
  <si>
    <t>c-right</t>
    <phoneticPr fontId="1" type="noConversion"/>
  </si>
  <si>
    <t>f(.)</t>
    <phoneticPr fontId="1" type="noConversion"/>
  </si>
  <si>
    <t>E-Glass</t>
  </si>
  <si>
    <t>AS4</t>
  </si>
  <si>
    <t>T300</t>
  </si>
  <si>
    <t>IM7</t>
  </si>
  <si>
    <t xml:space="preserve">AS </t>
    <phoneticPr fontId="1" type="noConversion"/>
  </si>
  <si>
    <t>S-Glass</t>
    <phoneticPr fontId="1" type="noConversion"/>
  </si>
  <si>
    <t>G400</t>
    <phoneticPr fontId="1" type="noConversion"/>
  </si>
  <si>
    <t>LY556</t>
  </si>
  <si>
    <t>MY750</t>
  </si>
  <si>
    <t>/3501</t>
    <phoneticPr fontId="1" type="noConversion"/>
  </si>
  <si>
    <t>914C</t>
    <phoneticPr fontId="1" type="noConversion"/>
  </si>
  <si>
    <t>/8511</t>
    <phoneticPr fontId="1" type="noConversion"/>
  </si>
  <si>
    <t>PR319</t>
  </si>
  <si>
    <t>Epoxy</t>
  </si>
  <si>
    <r>
      <t>E</t>
    </r>
    <r>
      <rPr>
        <b/>
        <vertAlign val="subscript"/>
        <sz val="12"/>
        <rFont val="Times New Roman"/>
        <family val="1"/>
      </rPr>
      <t>11</t>
    </r>
    <r>
      <rPr>
        <b/>
        <sz val="12"/>
        <rFont val="Times New Roman"/>
        <family val="1"/>
      </rPr>
      <t>(GPa)</t>
    </r>
  </si>
  <si>
    <r>
      <t>E</t>
    </r>
    <r>
      <rPr>
        <b/>
        <vertAlign val="subscript"/>
        <sz val="12"/>
        <rFont val="Times New Roman"/>
        <family val="1"/>
      </rPr>
      <t>22</t>
    </r>
    <r>
      <rPr>
        <b/>
        <sz val="12"/>
        <rFont val="Times New Roman"/>
        <family val="1"/>
      </rPr>
      <t>(GPa)</t>
    </r>
  </si>
  <si>
    <r>
      <t>n</t>
    </r>
    <r>
      <rPr>
        <b/>
        <vertAlign val="subscript"/>
        <sz val="12"/>
        <rFont val="Times New Roman"/>
        <family val="1"/>
      </rPr>
      <t>12</t>
    </r>
  </si>
  <si>
    <r>
      <t>G</t>
    </r>
    <r>
      <rPr>
        <b/>
        <vertAlign val="subscript"/>
        <sz val="12"/>
        <rFont val="Times New Roman"/>
        <family val="1"/>
      </rPr>
      <t>12</t>
    </r>
    <r>
      <rPr>
        <b/>
        <sz val="12"/>
        <rFont val="Times New Roman"/>
        <family val="1"/>
      </rPr>
      <t>(GPa)</t>
    </r>
  </si>
  <si>
    <r>
      <t>n</t>
    </r>
    <r>
      <rPr>
        <b/>
        <vertAlign val="subscript"/>
        <sz val="12"/>
        <rFont val="Times New Roman"/>
        <family val="1"/>
      </rPr>
      <t>23</t>
    </r>
    <phoneticPr fontId="1" type="noConversion"/>
  </si>
  <si>
    <r>
      <t>s</t>
    </r>
    <r>
      <rPr>
        <b/>
        <i/>
        <vertAlign val="subscript"/>
        <sz val="12"/>
        <rFont val="Times New Roman"/>
        <family val="1"/>
      </rPr>
      <t>u,t</t>
    </r>
    <r>
      <rPr>
        <b/>
        <sz val="12"/>
        <rFont val="Times New Roman"/>
        <family val="1"/>
      </rPr>
      <t>(MPa)</t>
    </r>
    <phoneticPr fontId="1" type="noConversion"/>
  </si>
  <si>
    <r>
      <t>s</t>
    </r>
    <r>
      <rPr>
        <b/>
        <i/>
        <vertAlign val="subscript"/>
        <sz val="12"/>
        <rFont val="Times New Roman"/>
        <family val="1"/>
      </rPr>
      <t>u,c</t>
    </r>
    <r>
      <rPr>
        <b/>
        <sz val="12"/>
        <rFont val="Times New Roman"/>
        <family val="1"/>
      </rPr>
      <t>(MPa)</t>
    </r>
  </si>
  <si>
    <r>
      <t>E</t>
    </r>
    <r>
      <rPr>
        <b/>
        <sz val="12"/>
        <rFont val="Times New Roman"/>
        <family val="1"/>
      </rPr>
      <t>(GPa)</t>
    </r>
    <phoneticPr fontId="1" type="noConversion"/>
  </si>
  <si>
    <t>n</t>
    <phoneticPr fontId="1" type="noConversion"/>
  </si>
  <si>
    <r>
      <t>s</t>
    </r>
    <r>
      <rPr>
        <b/>
        <i/>
        <vertAlign val="subscript"/>
        <sz val="12"/>
        <rFont val="Times New Roman"/>
        <family val="1"/>
      </rPr>
      <t>u,t</t>
    </r>
    <r>
      <rPr>
        <b/>
        <sz val="12"/>
        <rFont val="Times New Roman"/>
        <family val="1"/>
      </rPr>
      <t>(MPa)</t>
    </r>
  </si>
  <si>
    <r>
      <t>s</t>
    </r>
    <r>
      <rPr>
        <b/>
        <i/>
        <vertAlign val="subscript"/>
        <sz val="12"/>
        <rFont val="Times New Roman"/>
        <family val="1"/>
      </rPr>
      <t>u,s</t>
    </r>
    <r>
      <rPr>
        <b/>
        <sz val="12"/>
        <rFont val="Times New Roman"/>
        <family val="1"/>
      </rPr>
      <t>(MPa)</t>
    </r>
  </si>
  <si>
    <t>UD composites</t>
    <phoneticPr fontId="1" type="noConversion"/>
  </si>
  <si>
    <t>Fibber</t>
    <phoneticPr fontId="1" type="noConversion"/>
  </si>
  <si>
    <t>Matrix</t>
    <phoneticPr fontId="1" type="noConversion"/>
  </si>
  <si>
    <r>
      <t>fiber volume</t>
    </r>
    <r>
      <rPr>
        <b/>
        <sz val="12"/>
        <rFont val="宋体"/>
        <charset val="134"/>
      </rPr>
      <t xml:space="preserve"> </t>
    </r>
    <phoneticPr fontId="1" type="noConversion"/>
  </si>
  <si>
    <t>Vf</t>
    <phoneticPr fontId="1" type="noConversion"/>
  </si>
  <si>
    <t>G40-800</t>
  </si>
  <si>
    <t>/5260</t>
  </si>
  <si>
    <t>Prediction of longitudinal compressive strength of a UD composite</t>
    <phoneticPr fontId="1" type="noConversion"/>
  </si>
  <si>
    <t xml:space="preserve">           Applied load(MPa)</t>
    <phoneticPr fontId="1" type="noConversion"/>
  </si>
  <si>
    <t xml:space="preserve">                                         Load components in misaligned coordinates(MPa) </t>
    <phoneticPr fontId="1" type="noConversion"/>
  </si>
  <si>
    <t xml:space="preserve">                                        Fiber stresses in misaligned coordinates (MPa)</t>
    <phoneticPr fontId="1" type="noConversion"/>
  </si>
  <si>
    <t xml:space="preserve">                                             Matrix true stresses in misaligned coordinates (MPa)</t>
    <phoneticPr fontId="1" type="noConversion"/>
  </si>
  <si>
    <r>
      <t xml:space="preserve">                                                               </t>
    </r>
    <r>
      <rPr>
        <b/>
        <sz val="12"/>
        <color indexed="10"/>
        <rFont val="宋体"/>
        <charset val="134"/>
      </rPr>
      <t xml:space="preserve">             Matrix true shear stresses, Equivalent shear load, Fiber mis-angle increment</t>
    </r>
    <phoneticPr fontId="1" type="noConversion"/>
  </si>
  <si>
    <t xml:space="preserve">                                                Calculation for delt in the physics failure criterion</t>
    <phoneticPr fontId="1" type="noConversion"/>
  </si>
  <si>
    <r>
      <t xml:space="preserve">                                                               </t>
    </r>
    <r>
      <rPr>
        <b/>
        <sz val="12"/>
        <color indexed="10"/>
        <rFont val="宋体"/>
        <charset val="134"/>
      </rPr>
      <t xml:space="preserve">          Matrix true shear stress, Equivalent shear load, Fiber mis-angle increment</t>
    </r>
    <phoneticPr fontId="1" type="noConversion"/>
  </si>
  <si>
    <t xml:space="preserve">                     Matrix strength failure load=</t>
    <phoneticPr fontId="1" type="noConversion"/>
  </si>
  <si>
    <t xml:space="preserve">                     Fiber strength failure load=</t>
    <phoneticPr fontId="1" type="noConversion"/>
  </si>
  <si>
    <t xml:space="preserve">              Failure surface angle</t>
    <phoneticPr fontId="1" type="noConversion"/>
  </si>
  <si>
    <r>
      <t>Stress concentration factors(SCFs) of matrix in a composite with perfect interface.</t>
    </r>
    <r>
      <rPr>
        <b/>
        <sz val="11"/>
        <color indexed="12"/>
        <rFont val="Times New Roman"/>
        <family val="1"/>
      </rPr>
      <t xml:space="preserve"> Input parameters</t>
    </r>
    <r>
      <rPr>
        <sz val="11"/>
        <color indexed="8"/>
        <rFont val="Times New Roman"/>
        <family val="1"/>
      </rPr>
      <t xml:space="preserve">: E11f=fiber longitudinal modulus,U12f=fiber longitudinal Poisson's ratio,E22f=fiber transverse modulus, G12f=fiber longitudinal shear modulus, G23f=fiber transverse shear modulus    </t>
    </r>
    <phoneticPr fontId="23" type="noConversion"/>
  </si>
  <si>
    <r>
      <rPr>
        <b/>
        <sz val="11"/>
        <color indexed="12"/>
        <rFont val="Times New Roman"/>
        <family val="1"/>
      </rPr>
      <t xml:space="preserve">                                                                                                                                                                                                                                                            Input parameters:</t>
    </r>
    <r>
      <rPr>
        <sz val="11"/>
        <color indexed="8"/>
        <rFont val="Times New Roman"/>
        <family val="1"/>
      </rPr>
      <t xml:space="preserve"> Em=matrix modulus, Um=matrix Poisson's ratio, Sutm=matrix tensile strength, Sucm=matrix compressive strength, Susm=matrix shear strength, Vf=fiber volume fraction</t>
    </r>
    <phoneticPr fontId="23" type="noConversion"/>
  </si>
  <si>
    <r>
      <t xml:space="preserve">                                                                                                                                                                                                  </t>
    </r>
    <r>
      <rPr>
        <b/>
        <sz val="11"/>
        <color indexed="12"/>
        <rFont val="Times New Roman"/>
        <family val="1"/>
      </rPr>
      <t>Input parameters</t>
    </r>
    <r>
      <rPr>
        <sz val="11"/>
        <color indexed="12"/>
        <rFont val="Times New Roman"/>
        <family val="1"/>
      </rPr>
      <t xml:space="preserve">: </t>
    </r>
    <r>
      <rPr>
        <b/>
        <sz val="11"/>
        <rFont val="Times New Roman"/>
        <family val="1"/>
      </rPr>
      <t xml:space="preserve"> </t>
    </r>
    <r>
      <rPr>
        <sz val="11"/>
        <rFont val="Times New Roman"/>
        <family val="1"/>
      </rPr>
      <t>Beta=bridging parameter, Alf=bridging parameter (Beta=Alf=0.3 in most cases), Y=transverse tensile strength of a UD composite</t>
    </r>
    <phoneticPr fontId="23" type="noConversion"/>
  </si>
  <si>
    <t xml:space="preserve">SCFs of the matrix with perfect interface </t>
    <phoneticPr fontId="23" type="noConversion"/>
  </si>
  <si>
    <t>E11f</t>
    <phoneticPr fontId="31" type="noConversion"/>
  </si>
  <si>
    <t>U12f</t>
    <phoneticPr fontId="31" type="noConversion"/>
  </si>
  <si>
    <t>E22f</t>
    <phoneticPr fontId="31" type="noConversion"/>
  </si>
  <si>
    <t>G12f</t>
    <phoneticPr fontId="31" type="noConversion"/>
  </si>
  <si>
    <t>G23f</t>
    <phoneticPr fontId="31" type="noConversion"/>
  </si>
  <si>
    <t>Em</t>
    <phoneticPr fontId="31" type="noConversion"/>
  </si>
  <si>
    <t>Um</t>
    <phoneticPr fontId="31" type="noConversion"/>
  </si>
  <si>
    <t>Sutm</t>
    <phoneticPr fontId="31" type="noConversion"/>
  </si>
  <si>
    <t>Sucm</t>
    <phoneticPr fontId="31" type="noConversion"/>
  </si>
  <si>
    <t>Susm</t>
    <phoneticPr fontId="31" type="noConversion"/>
  </si>
  <si>
    <t>VF</t>
    <phoneticPr fontId="31" type="noConversion"/>
  </si>
  <si>
    <t>Beta</t>
    <phoneticPr fontId="31" type="noConversion"/>
  </si>
  <si>
    <t>Alf</t>
    <phoneticPr fontId="31" type="noConversion"/>
  </si>
  <si>
    <t>U23f</t>
    <phoneticPr fontId="31" type="noConversion"/>
  </si>
  <si>
    <t>(Gpa)</t>
    <phoneticPr fontId="31" type="noConversion"/>
  </si>
  <si>
    <t>(GPa)</t>
    <phoneticPr fontId="31" type="noConversion"/>
  </si>
  <si>
    <t>(Gpa)</t>
    <phoneticPr fontId="31" type="noConversion"/>
  </si>
  <si>
    <t>(GPa)</t>
    <phoneticPr fontId="31" type="noConversion"/>
  </si>
  <si>
    <t>(MPa)</t>
    <phoneticPr fontId="31" type="noConversion"/>
  </si>
  <si>
    <t>A</t>
    <phoneticPr fontId="31" type="noConversion"/>
  </si>
  <si>
    <t>B</t>
    <phoneticPr fontId="31" type="noConversion"/>
  </si>
  <si>
    <t>Transverse tensile SCF</t>
    <phoneticPr fontId="23" type="noConversion"/>
  </si>
  <si>
    <t>KI</t>
    <phoneticPr fontId="31" type="noConversion"/>
  </si>
  <si>
    <t>Vf</t>
    <phoneticPr fontId="31" type="noConversion"/>
  </si>
  <si>
    <t>KII</t>
    <phoneticPr fontId="31" type="noConversion"/>
  </si>
  <si>
    <t>Vm</t>
    <phoneticPr fontId="31" type="noConversion"/>
  </si>
  <si>
    <t>K22t</t>
    <phoneticPr fontId="31" type="noConversion"/>
  </si>
  <si>
    <t>Transverse compressive SCF</t>
    <phoneticPr fontId="23" type="noConversion"/>
  </si>
  <si>
    <t>a1</t>
    <phoneticPr fontId="31" type="noConversion"/>
  </si>
  <si>
    <t>a2</t>
    <phoneticPr fontId="31" type="noConversion"/>
  </si>
  <si>
    <t>K22c</t>
    <phoneticPr fontId="31" type="noConversion"/>
  </si>
  <si>
    <t>Transverse shear SCF</t>
    <phoneticPr fontId="23" type="noConversion"/>
  </si>
  <si>
    <t>K23</t>
    <phoneticPr fontId="31" type="noConversion"/>
  </si>
  <si>
    <t>Longitudinal shear SCF</t>
    <phoneticPr fontId="23" type="noConversion"/>
  </si>
  <si>
    <t>a1</t>
    <phoneticPr fontId="31" type="noConversion"/>
  </si>
  <si>
    <t>a2</t>
    <phoneticPr fontId="31" type="noConversion"/>
  </si>
  <si>
    <t>Gm</t>
    <phoneticPr fontId="31" type="noConversion"/>
  </si>
  <si>
    <t>K12</t>
    <phoneticPr fontId="31" type="noConversion"/>
  </si>
  <si>
    <t>CC BY-NC-SA</t>
  </si>
  <si>
    <t>This license enables reusers to distribute, remix, adapt, and build upon the material in any medium or format for noncommercial purposes only, and only so long as attribution is given to the creator. If you remix, adapt, or build upon the material, you must license the modified material under identical terms. CC BY-NC-SA includes the following elements:</t>
  </si>
  <si>
    <t>BY: credit must be given to the creator.</t>
  </si>
  <si>
    <t>NC: Only noncommercial uses of the work are permitted.</t>
  </si>
  <si>
    <t xml:space="preserve">SA: Adaptations must be shared under the same terms. </t>
  </si>
  <si>
    <t>Author:</t>
  </si>
  <si>
    <t>Zheng-Ming Huang</t>
  </si>
  <si>
    <t>huangzm@tongji.edu.cn</t>
  </si>
  <si>
    <t>Email:</t>
  </si>
  <si>
    <t>School of Aerospace Engineering &amp; Applied Mechanics, Tongji University, China</t>
  </si>
  <si>
    <t>Institue:</t>
  </si>
  <si>
    <t>Disclaimer:</t>
  </si>
  <si>
    <t>No responsibility for calculations, or determinations as as a result, are accepted from the use of this spreadsheet. If you find an error please contact 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</si>
</sst>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font>
      <sz val="12"/>
      <name val="宋体"/>
      <charset val="134"/>
    </font>
    <font>
      <sz val="9"/>
      <name val="宋体"/>
      <charset val="134"/>
    </font>
    <font>
      <b/>
      <sz val="12"/>
      <name val="宋体"/>
      <charset val="134"/>
    </font>
    <font>
      <sz val="12"/>
      <name val="Symbol"/>
      <family val="1"/>
      <charset val="2"/>
    </font>
    <font>
      <sz val="12"/>
      <color indexed="8"/>
      <name val="宋体"/>
      <charset val="134"/>
    </font>
    <font>
      <b/>
      <sz val="12"/>
      <color indexed="12"/>
      <name val="宋体"/>
      <charset val="134"/>
    </font>
    <font>
      <b/>
      <sz val="12"/>
      <color indexed="10"/>
      <name val="宋体"/>
      <charset val="134"/>
    </font>
    <font>
      <sz val="10"/>
      <name val="Times New Roman"/>
      <family val="1"/>
    </font>
    <font>
      <b/>
      <sz val="10"/>
      <color indexed="12"/>
      <name val="Times New Roman"/>
      <family val="1"/>
    </font>
    <font>
      <b/>
      <sz val="10"/>
      <color indexed="10"/>
      <name val="Times New Roman"/>
      <family val="1"/>
    </font>
    <font>
      <b/>
      <sz val="12"/>
      <color indexed="14"/>
      <name val="宋体"/>
      <charset val="134"/>
    </font>
    <font>
      <sz val="10"/>
      <color indexed="8"/>
      <name val="Times New Roman"/>
      <family val="1"/>
    </font>
    <font>
      <sz val="10.5"/>
      <name val="Times New Roman"/>
      <family val="1"/>
    </font>
    <font>
      <sz val="10"/>
      <name val="宋体"/>
      <charset val="134"/>
    </font>
    <font>
      <b/>
      <sz val="12"/>
      <color indexed="8"/>
      <name val="Times New Roman"/>
      <family val="1"/>
    </font>
    <font>
      <b/>
      <i/>
      <sz val="12"/>
      <name val="Times New Roman"/>
      <family val="1"/>
    </font>
    <font>
      <b/>
      <vertAlign val="subscript"/>
      <sz val="12"/>
      <name val="Times New Roman"/>
      <family val="1"/>
    </font>
    <font>
      <b/>
      <sz val="12"/>
      <name val="Times New Roman"/>
      <family val="1"/>
    </font>
    <font>
      <b/>
      <sz val="12"/>
      <name val="Symbol"/>
      <family val="1"/>
      <charset val="2"/>
    </font>
    <font>
      <b/>
      <i/>
      <sz val="12"/>
      <name val="Symbol"/>
      <family val="1"/>
      <charset val="2"/>
    </font>
    <font>
      <b/>
      <i/>
      <vertAlign val="subscript"/>
      <sz val="12"/>
      <name val="Times New Roman"/>
      <family val="1"/>
    </font>
    <font>
      <sz val="11"/>
      <color indexed="8"/>
      <name val="Times New Roman"/>
      <family val="1"/>
    </font>
    <font>
      <b/>
      <sz val="11"/>
      <color indexed="12"/>
      <name val="Times New Roman"/>
      <family val="1"/>
    </font>
    <font>
      <sz val="9"/>
      <name val="等线"/>
      <charset val="134"/>
    </font>
    <font>
      <sz val="11"/>
      <color indexed="8"/>
      <name val="Times New Roman"/>
      <family val="1"/>
    </font>
    <font>
      <i/>
      <sz val="11"/>
      <color indexed="8"/>
      <name val="Times New Roman"/>
      <family val="1"/>
    </font>
    <font>
      <i/>
      <sz val="12"/>
      <color indexed="8"/>
      <name val="Symbol"/>
      <family val="1"/>
      <charset val="2"/>
    </font>
    <font>
      <b/>
      <sz val="11"/>
      <name val="Times New Roman"/>
      <family val="1"/>
    </font>
    <font>
      <sz val="11"/>
      <color indexed="12"/>
      <name val="Times New Roman"/>
      <family val="1"/>
    </font>
    <font>
      <sz val="11"/>
      <name val="Times New Roman"/>
      <family val="1"/>
    </font>
    <font>
      <b/>
      <sz val="12"/>
      <color indexed="10"/>
      <name val="Times New Roman"/>
      <family val="1"/>
    </font>
    <font>
      <sz val="9"/>
      <name val="宋体"/>
      <charset val="134"/>
    </font>
    <font>
      <sz val="12"/>
      <name val="Times New Roman"/>
      <family val="1"/>
    </font>
    <font>
      <b/>
      <sz val="12"/>
      <color indexed="12"/>
      <name val="Times New Roman"/>
      <family val="1"/>
    </font>
    <font>
      <b/>
      <sz val="12"/>
      <color indexed="12"/>
      <name val="Times New Roman"/>
      <family val="1"/>
    </font>
    <font>
      <b/>
      <sz val="12"/>
      <color indexed="8"/>
      <name val="Times New Roman"/>
      <family val="1"/>
    </font>
    <font>
      <b/>
      <sz val="12"/>
      <color indexed="12"/>
      <name val="Times New Roman"/>
      <family val="1"/>
    </font>
    <font>
      <b/>
      <sz val="12"/>
      <color indexed="8"/>
      <name val="等线"/>
      <charset val="134"/>
    </font>
    <font>
      <sz val="12"/>
      <color indexed="8"/>
      <name val="Times New Roman"/>
      <family val="1"/>
    </font>
    <font>
      <sz val="11"/>
      <name val="Calibri"/>
      <family val="2"/>
      <scheme val="minor"/>
    </font>
    <font>
      <sz val="12"/>
      <name val="Calibri"/>
      <family val="2"/>
      <scheme val="minor"/>
    </font>
  </fonts>
  <fills count="2">
    <fill>
      <patternFill patternType="none"/>
    </fill>
    <fill>
      <patternFill patternType="gray125"/>
    </fill>
  </fills>
  <borders count="8">
    <border>
      <left/>
      <right/>
      <top/>
      <bottom/>
      <diagonal/>
    </border>
    <border>
      <left style="medium">
        <color indexed="8"/>
      </left>
      <right style="medium">
        <color indexed="8"/>
      </right>
      <top style="medium">
        <color indexed="8"/>
      </top>
      <bottom/>
      <diagonal/>
    </border>
    <border>
      <left/>
      <right style="medium">
        <color indexed="8"/>
      </right>
      <top style="medium">
        <color indexed="8"/>
      </top>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medium">
        <color indexed="8"/>
      </right>
      <top/>
      <bottom/>
      <diagonal/>
    </border>
  </borders>
  <cellStyleXfs count="1">
    <xf numFmtId="0" fontId="0" fillId="0" borderId="0">
      <alignment vertical="center"/>
    </xf>
  </cellStyleXfs>
  <cellXfs count="55">
    <xf numFmtId="0" fontId="0" fillId="0" borderId="0" xfId="0">
      <alignmen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2" fillId="0" borderId="0" xfId="0" applyFont="1">
      <alignment vertical="center"/>
    </xf>
    <xf numFmtId="0" fontId="14" fillId="0" borderId="0" xfId="0" applyFont="1" applyAlignment="1">
      <alignment horizontal="center"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2" xfId="0" applyFont="1" applyBorder="1" applyAlignment="1">
      <alignment horizontal="center" vertical="top" wrapText="1"/>
    </xf>
    <xf numFmtId="17" fontId="14" fillId="0" borderId="3" xfId="0" applyNumberFormat="1" applyFont="1" applyBorder="1" applyAlignment="1">
      <alignment horizontal="center" vertical="center" wrapText="1"/>
    </xf>
    <xf numFmtId="0" fontId="14" fillId="0" borderId="4" xfId="0" applyFont="1" applyBorder="1" applyAlignment="1">
      <alignment horizontal="center" vertical="center" wrapText="1"/>
    </xf>
    <xf numFmtId="17" fontId="14" fillId="0" borderId="4" xfId="0" applyNumberFormat="1" applyFont="1" applyBorder="1" applyAlignment="1">
      <alignment horizontal="center" vertical="center" wrapText="1"/>
    </xf>
    <xf numFmtId="0" fontId="14" fillId="0" borderId="4" xfId="0" applyFont="1" applyBorder="1" applyAlignment="1">
      <alignment horizontal="center" vertical="top" wrapText="1"/>
    </xf>
    <xf numFmtId="0" fontId="15" fillId="0" borderId="5" xfId="0" applyFont="1" applyBorder="1" applyAlignment="1">
      <alignment horizontal="center" vertical="top" wrapText="1"/>
    </xf>
    <xf numFmtId="0" fontId="14" fillId="0" borderId="5" xfId="0" applyFont="1" applyBorder="1" applyAlignment="1">
      <alignment horizontal="center" vertical="top" wrapText="1"/>
    </xf>
    <xf numFmtId="0" fontId="14" fillId="0" borderId="5" xfId="0" applyFont="1" applyBorder="1" applyAlignment="1">
      <alignment horizontal="center" vertical="center" wrapText="1"/>
    </xf>
    <xf numFmtId="0" fontId="15" fillId="0" borderId="3" xfId="0" applyFont="1" applyBorder="1" applyAlignment="1">
      <alignment horizontal="center" vertical="top" wrapText="1"/>
    </xf>
    <xf numFmtId="0" fontId="14" fillId="0" borderId="3" xfId="0" applyFont="1" applyBorder="1" applyAlignment="1">
      <alignment horizontal="center" vertical="top" wrapText="1"/>
    </xf>
    <xf numFmtId="0" fontId="14" fillId="0" borderId="3" xfId="0" applyFont="1" applyBorder="1" applyAlignment="1">
      <alignment horizontal="center" vertical="center" wrapText="1"/>
    </xf>
    <xf numFmtId="0" fontId="18" fillId="0" borderId="3" xfId="0" applyFont="1" applyBorder="1" applyAlignment="1">
      <alignment horizontal="center" vertical="top" wrapText="1"/>
    </xf>
    <xf numFmtId="0" fontId="19" fillId="0" borderId="3" xfId="0" applyFont="1" applyBorder="1" applyAlignment="1">
      <alignment horizontal="center" vertical="top" wrapText="1"/>
    </xf>
    <xf numFmtId="0" fontId="19" fillId="0" borderId="5" xfId="0" applyFont="1" applyBorder="1" applyAlignment="1">
      <alignment horizontal="center" vertical="top" wrapText="1"/>
    </xf>
    <xf numFmtId="0" fontId="14" fillId="0" borderId="6" xfId="0" applyFont="1" applyBorder="1" applyAlignment="1">
      <alignment horizontal="center" vertical="center" wrapText="1"/>
    </xf>
    <xf numFmtId="0" fontId="14" fillId="0" borderId="6" xfId="0" applyFont="1" applyBorder="1" applyAlignment="1">
      <alignment horizontal="center" vertical="top" wrapText="1"/>
    </xf>
    <xf numFmtId="0" fontId="10" fillId="0" borderId="0" xfId="0" applyFont="1">
      <alignment vertical="center"/>
    </xf>
    <xf numFmtId="17" fontId="0" fillId="0" borderId="0" xfId="0" applyNumberFormat="1" applyAlignment="1">
      <alignment horizontal="center" vertical="center"/>
    </xf>
    <xf numFmtId="0" fontId="17" fillId="0" borderId="0" xfId="0" applyFont="1">
      <alignment vertical="center"/>
    </xf>
    <xf numFmtId="0" fontId="15" fillId="0" borderId="7" xfId="0" applyFont="1" applyFill="1" applyBorder="1" applyAlignment="1">
      <alignment horizontal="center" vertical="top" wrapText="1"/>
    </xf>
    <xf numFmtId="0" fontId="21" fillId="0" borderId="0" xfId="0" applyFont="1">
      <alignment vertical="center"/>
    </xf>
    <xf numFmtId="0" fontId="24" fillId="0" borderId="0" xfId="0" applyFont="1" applyAlignment="1">
      <alignment horizontal="center" vertical="center"/>
    </xf>
    <xf numFmtId="0" fontId="25" fillId="0" borderId="0" xfId="0" applyFont="1" applyAlignment="1">
      <alignment horizontal="center" vertical="center"/>
    </xf>
    <xf numFmtId="0" fontId="21" fillId="0" borderId="0" xfId="0" applyFont="1" applyAlignment="1">
      <alignment horizontal="center" vertical="center"/>
    </xf>
    <xf numFmtId="0" fontId="26" fillId="0" borderId="0" xfId="0" applyFont="1" applyAlignment="1">
      <alignment horizontal="center" vertical="center"/>
    </xf>
    <xf numFmtId="0" fontId="27" fillId="0" borderId="0" xfId="0" applyFont="1" applyAlignment="1">
      <alignment horizontal="center" vertical="center"/>
    </xf>
    <xf numFmtId="0" fontId="30" fillId="0" borderId="0" xfId="0" applyFont="1" applyAlignment="1">
      <alignment horizontal="center" vertical="center"/>
    </xf>
    <xf numFmtId="0" fontId="32" fillId="0" borderId="0" xfId="0" applyFont="1" applyAlignment="1">
      <alignment horizontal="center" vertical="center"/>
    </xf>
    <xf numFmtId="0" fontId="33" fillId="0" borderId="0" xfId="0" applyFont="1" applyAlignment="1">
      <alignment horizontal="center" vertical="center"/>
    </xf>
    <xf numFmtId="0" fontId="22" fillId="0" borderId="0" xfId="0" applyFont="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17" fillId="0" borderId="0" xfId="0" applyFont="1" applyAlignment="1">
      <alignment horizontal="center" vertical="center"/>
    </xf>
    <xf numFmtId="0" fontId="36" fillId="0" borderId="0" xfId="0" applyFont="1" applyAlignment="1">
      <alignment horizontal="center" vertical="center"/>
    </xf>
    <xf numFmtId="0" fontId="37" fillId="0" borderId="0" xfId="0" applyFont="1">
      <alignment vertical="center"/>
    </xf>
    <xf numFmtId="0" fontId="29" fillId="0" borderId="0" xfId="0" applyFont="1" applyAlignment="1">
      <alignment horizontal="center" vertical="center"/>
    </xf>
    <xf numFmtId="0" fontId="38" fillId="0" borderId="0" xfId="0" applyFont="1" applyAlignment="1">
      <alignment horizontal="center" vertical="center"/>
    </xf>
    <xf numFmtId="0" fontId="39" fillId="0" borderId="0" xfId="0" applyFont="1" applyAlignment="1">
      <alignment vertical="center"/>
    </xf>
    <xf numFmtId="0" fontId="40" fillId="0" borderId="0" xfId="0" applyFo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18" Type="http://schemas.openxmlformats.org/officeDocument/2006/relationships/image" Target="../media/image19.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17" Type="http://schemas.openxmlformats.org/officeDocument/2006/relationships/image" Target="../media/image18.emf"/><Relationship Id="rId2" Type="http://schemas.openxmlformats.org/officeDocument/2006/relationships/image" Target="../media/image3.emf"/><Relationship Id="rId16" Type="http://schemas.openxmlformats.org/officeDocument/2006/relationships/image" Target="../media/image17.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5" Type="http://schemas.openxmlformats.org/officeDocument/2006/relationships/image" Target="../media/image1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 Id="rId14"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13</xdr:row>
      <xdr:rowOff>686</xdr:rowOff>
    </xdr:from>
    <xdr:to>
      <xdr:col>3</xdr:col>
      <xdr:colOff>47625</xdr:colOff>
      <xdr:row>17</xdr:row>
      <xdr:rowOff>40393</xdr:rowOff>
    </xdr:to>
    <xdr:pic>
      <xdr:nvPicPr>
        <xdr:cNvPr id="2" name="Picture 1" descr="https://mirrors.creativecommons.org/presskit/buttons/88x31/png/by-nc-sa.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2601011"/>
          <a:ext cx="2400300" cy="8398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647700</xdr:colOff>
          <xdr:row>5</xdr:row>
          <xdr:rowOff>47625</xdr:rowOff>
        </xdr:from>
        <xdr:to>
          <xdr:col>13</xdr:col>
          <xdr:colOff>466725</xdr:colOff>
          <xdr:row>8</xdr:row>
          <xdr:rowOff>114300</xdr:rowOff>
        </xdr:to>
        <xdr:sp macro="" textlink="">
          <xdr:nvSpPr>
            <xdr:cNvPr id="1171" name="Object 147" hidden="1">
              <a:extLst>
                <a:ext uri="{63B3BB69-23CF-44E3-9099-C40C66FF867C}">
                  <a14:compatExt spid="_x0000_s117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571500</xdr:colOff>
          <xdr:row>5</xdr:row>
          <xdr:rowOff>66675</xdr:rowOff>
        </xdr:from>
        <xdr:to>
          <xdr:col>17</xdr:col>
          <xdr:colOff>228600</xdr:colOff>
          <xdr:row>8</xdr:row>
          <xdr:rowOff>133350</xdr:rowOff>
        </xdr:to>
        <xdr:sp macro="" textlink="">
          <xdr:nvSpPr>
            <xdr:cNvPr id="1172" name="Object 148" hidden="1">
              <a:extLst>
                <a:ext uri="{63B3BB69-23CF-44E3-9099-C40C66FF867C}">
                  <a14:compatExt spid="_x0000_s11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66675</xdr:colOff>
          <xdr:row>8</xdr:row>
          <xdr:rowOff>152400</xdr:rowOff>
        </xdr:from>
        <xdr:to>
          <xdr:col>15</xdr:col>
          <xdr:colOff>85725</xdr:colOff>
          <xdr:row>12</xdr:row>
          <xdr:rowOff>0</xdr:rowOff>
        </xdr:to>
        <xdr:sp macro="" textlink="">
          <xdr:nvSpPr>
            <xdr:cNvPr id="1173" name="Object 149" hidden="1">
              <a:extLst>
                <a:ext uri="{63B3BB69-23CF-44E3-9099-C40C66FF867C}">
                  <a14:compatExt spid="_x0000_s11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11</xdr:row>
          <xdr:rowOff>171450</xdr:rowOff>
        </xdr:from>
        <xdr:to>
          <xdr:col>15</xdr:col>
          <xdr:colOff>152400</xdr:colOff>
          <xdr:row>15</xdr:row>
          <xdr:rowOff>38100</xdr:rowOff>
        </xdr:to>
        <xdr:sp macro="" textlink="">
          <xdr:nvSpPr>
            <xdr:cNvPr id="1174" name="Object 150" hidden="1">
              <a:extLst>
                <a:ext uri="{63B3BB69-23CF-44E3-9099-C40C66FF867C}">
                  <a14:compatExt spid="_x0000_s11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14</xdr:row>
          <xdr:rowOff>171450</xdr:rowOff>
        </xdr:from>
        <xdr:to>
          <xdr:col>14</xdr:col>
          <xdr:colOff>619125</xdr:colOff>
          <xdr:row>18</xdr:row>
          <xdr:rowOff>123825</xdr:rowOff>
        </xdr:to>
        <xdr:sp macro="" textlink="">
          <xdr:nvSpPr>
            <xdr:cNvPr id="1175" name="Object 151" hidden="1">
              <a:extLst>
                <a:ext uri="{63B3BB69-23CF-44E3-9099-C40C66FF867C}">
                  <a14:compatExt spid="_x0000_s11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8</xdr:row>
          <xdr:rowOff>171450</xdr:rowOff>
        </xdr:from>
        <xdr:to>
          <xdr:col>21</xdr:col>
          <xdr:colOff>123825</xdr:colOff>
          <xdr:row>12</xdr:row>
          <xdr:rowOff>152400</xdr:rowOff>
        </xdr:to>
        <xdr:sp macro="" textlink="">
          <xdr:nvSpPr>
            <xdr:cNvPr id="1176" name="Object 63" hidden="1">
              <a:extLst>
                <a:ext uri="{63B3BB69-23CF-44E3-9099-C40C66FF867C}">
                  <a14:compatExt spid="_x0000_s117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295275</xdr:colOff>
          <xdr:row>12</xdr:row>
          <xdr:rowOff>171450</xdr:rowOff>
        </xdr:from>
        <xdr:to>
          <xdr:col>21</xdr:col>
          <xdr:colOff>466725</xdr:colOff>
          <xdr:row>17</xdr:row>
          <xdr:rowOff>76200</xdr:rowOff>
        </xdr:to>
        <xdr:sp macro="" textlink="">
          <xdr:nvSpPr>
            <xdr:cNvPr id="1177" name="Object 8" hidden="1">
              <a:extLst>
                <a:ext uri="{63B3BB69-23CF-44E3-9099-C40C66FF867C}">
                  <a14:compatExt spid="_x0000_s117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333375</xdr:colOff>
          <xdr:row>17</xdr:row>
          <xdr:rowOff>19050</xdr:rowOff>
        </xdr:from>
        <xdr:to>
          <xdr:col>17</xdr:col>
          <xdr:colOff>457200</xdr:colOff>
          <xdr:row>21</xdr:row>
          <xdr:rowOff>0</xdr:rowOff>
        </xdr:to>
        <xdr:sp macro="" textlink="">
          <xdr:nvSpPr>
            <xdr:cNvPr id="1178" name="Object 12" hidden="1">
              <a:extLst>
                <a:ext uri="{63B3BB69-23CF-44E3-9099-C40C66FF867C}">
                  <a14:compatExt spid="_x0000_s117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628650</xdr:colOff>
          <xdr:row>17</xdr:row>
          <xdr:rowOff>57150</xdr:rowOff>
        </xdr:from>
        <xdr:to>
          <xdr:col>20</xdr:col>
          <xdr:colOff>238125</xdr:colOff>
          <xdr:row>21</xdr:row>
          <xdr:rowOff>114300</xdr:rowOff>
        </xdr:to>
        <xdr:sp macro="" textlink="">
          <xdr:nvSpPr>
            <xdr:cNvPr id="1179" name="Object 13" hidden="1">
              <a:extLst>
                <a:ext uri="{63B3BB69-23CF-44E3-9099-C40C66FF867C}">
                  <a14:compatExt spid="_x0000_s117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485775</xdr:colOff>
          <xdr:row>29</xdr:row>
          <xdr:rowOff>19050</xdr:rowOff>
        </xdr:from>
        <xdr:to>
          <xdr:col>18</xdr:col>
          <xdr:colOff>209550</xdr:colOff>
          <xdr:row>32</xdr:row>
          <xdr:rowOff>152400</xdr:rowOff>
        </xdr:to>
        <xdr:sp macro="" textlink="">
          <xdr:nvSpPr>
            <xdr:cNvPr id="1180" name="Object 156" hidden="1">
              <a:extLst>
                <a:ext uri="{63B3BB69-23CF-44E3-9099-C40C66FF867C}">
                  <a14:compatExt spid="_x0000_s118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26</xdr:row>
          <xdr:rowOff>19050</xdr:rowOff>
        </xdr:from>
        <xdr:to>
          <xdr:col>15</xdr:col>
          <xdr:colOff>133350</xdr:colOff>
          <xdr:row>30</xdr:row>
          <xdr:rowOff>0</xdr:rowOff>
        </xdr:to>
        <xdr:sp macro="" textlink="">
          <xdr:nvSpPr>
            <xdr:cNvPr id="1181" name="Object 157" hidden="1">
              <a:extLst>
                <a:ext uri="{63B3BB69-23CF-44E3-9099-C40C66FF867C}">
                  <a14:compatExt spid="_x0000_s118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438150</xdr:colOff>
          <xdr:row>29</xdr:row>
          <xdr:rowOff>57150</xdr:rowOff>
        </xdr:from>
        <xdr:to>
          <xdr:col>21</xdr:col>
          <xdr:colOff>57150</xdr:colOff>
          <xdr:row>33</xdr:row>
          <xdr:rowOff>9525</xdr:rowOff>
        </xdr:to>
        <xdr:sp macro="" textlink="">
          <xdr:nvSpPr>
            <xdr:cNvPr id="1182" name="Object 158" hidden="1">
              <a:extLst>
                <a:ext uri="{63B3BB69-23CF-44E3-9099-C40C66FF867C}">
                  <a14:compatExt spid="_x0000_s118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30</xdr:row>
          <xdr:rowOff>9525</xdr:rowOff>
        </xdr:from>
        <xdr:to>
          <xdr:col>13</xdr:col>
          <xdr:colOff>323850</xdr:colOff>
          <xdr:row>32</xdr:row>
          <xdr:rowOff>104775</xdr:rowOff>
        </xdr:to>
        <xdr:sp macro="" textlink="">
          <xdr:nvSpPr>
            <xdr:cNvPr id="1183" name="Object 159" hidden="1">
              <a:extLst>
                <a:ext uri="{63B3BB69-23CF-44E3-9099-C40C66FF867C}">
                  <a14:compatExt spid="_x0000_s118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0</xdr:colOff>
          <xdr:row>22</xdr:row>
          <xdr:rowOff>0</xdr:rowOff>
        </xdr:from>
        <xdr:to>
          <xdr:col>15</xdr:col>
          <xdr:colOff>171450</xdr:colOff>
          <xdr:row>25</xdr:row>
          <xdr:rowOff>171450</xdr:rowOff>
        </xdr:to>
        <xdr:sp macro="" textlink="">
          <xdr:nvSpPr>
            <xdr:cNvPr id="1184" name="Object 160" hidden="1">
              <a:extLst>
                <a:ext uri="{63B3BB69-23CF-44E3-9099-C40C66FF867C}">
                  <a14:compatExt spid="_x0000_s118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xdr:colOff>
          <xdr:row>18</xdr:row>
          <xdr:rowOff>104775</xdr:rowOff>
        </xdr:from>
        <xdr:to>
          <xdr:col>12</xdr:col>
          <xdr:colOff>666750</xdr:colOff>
          <xdr:row>21</xdr:row>
          <xdr:rowOff>171450</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361950</xdr:colOff>
          <xdr:row>21</xdr:row>
          <xdr:rowOff>66675</xdr:rowOff>
        </xdr:from>
        <xdr:to>
          <xdr:col>17</xdr:col>
          <xdr:colOff>666750</xdr:colOff>
          <xdr:row>25</xdr:row>
          <xdr:rowOff>133350</xdr:rowOff>
        </xdr:to>
        <xdr:sp macro="" textlink="">
          <xdr:nvSpPr>
            <xdr:cNvPr id="1186" name="Object 16"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21</xdr:row>
          <xdr:rowOff>114300</xdr:rowOff>
        </xdr:from>
        <xdr:to>
          <xdr:col>20</xdr:col>
          <xdr:colOff>257175</xdr:colOff>
          <xdr:row>25</xdr:row>
          <xdr:rowOff>161925</xdr:rowOff>
        </xdr:to>
        <xdr:sp macro="" textlink="">
          <xdr:nvSpPr>
            <xdr:cNvPr id="1187" name="Object 17"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xdr:colOff>
          <xdr:row>65</xdr:row>
          <xdr:rowOff>171450</xdr:rowOff>
        </xdr:from>
        <xdr:to>
          <xdr:col>19</xdr:col>
          <xdr:colOff>247650</xdr:colOff>
          <xdr:row>70</xdr:row>
          <xdr:rowOff>19050</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0</xdr:col>
      <xdr:colOff>38100</xdr:colOff>
      <xdr:row>73</xdr:row>
      <xdr:rowOff>38100</xdr:rowOff>
    </xdr:from>
    <xdr:to>
      <xdr:col>3</xdr:col>
      <xdr:colOff>0</xdr:colOff>
      <xdr:row>77</xdr:row>
      <xdr:rowOff>134957</xdr:rowOff>
    </xdr:to>
    <xdr:pic>
      <xdr:nvPicPr>
        <xdr:cNvPr id="21" name="Picture 20" descr="https://mirrors.creativecommons.org/presskit/buttons/88x31/png/by-nc-sa.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3268325"/>
          <a:ext cx="2400300" cy="8398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33</xdr:row>
      <xdr:rowOff>57150</xdr:rowOff>
    </xdr:from>
    <xdr:to>
      <xdr:col>2</xdr:col>
      <xdr:colOff>571500</xdr:colOff>
      <xdr:row>37</xdr:row>
      <xdr:rowOff>173057</xdr:rowOff>
    </xdr:to>
    <xdr:pic>
      <xdr:nvPicPr>
        <xdr:cNvPr id="2" name="Picture 1" descr="https://mirrors.creativecommons.org/presskit/buttons/88x31/png/by-nc-sa.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6524625"/>
          <a:ext cx="2400300" cy="8398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51288</xdr:colOff>
      <xdr:row>19</xdr:row>
      <xdr:rowOff>14654</xdr:rowOff>
    </xdr:from>
    <xdr:to>
      <xdr:col>3</xdr:col>
      <xdr:colOff>260838</xdr:colOff>
      <xdr:row>23</xdr:row>
      <xdr:rowOff>121769</xdr:rowOff>
    </xdr:to>
    <xdr:pic>
      <xdr:nvPicPr>
        <xdr:cNvPr id="2" name="Picture 1" descr="https://mirrors.creativecommons.org/presskit/buttons/88x31/png/by-nc-sa.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288" y="4191000"/>
          <a:ext cx="2400300" cy="8398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oleObject" Target="../embeddings/oleObject3.bin"/><Relationship Id="rId13" Type="http://schemas.openxmlformats.org/officeDocument/2006/relationships/image" Target="../media/image6.e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9.emf"/><Relationship Id="rId3" Type="http://schemas.openxmlformats.org/officeDocument/2006/relationships/vmlDrawing" Target="../drawings/vmlDrawing1.vml"/><Relationship Id="rId21" Type="http://schemas.openxmlformats.org/officeDocument/2006/relationships/image" Target="../media/image10.emf"/><Relationship Id="rId34" Type="http://schemas.openxmlformats.org/officeDocument/2006/relationships/oleObject" Target="../embeddings/oleObject16.bin"/><Relationship Id="rId7" Type="http://schemas.openxmlformats.org/officeDocument/2006/relationships/image" Target="../media/image3.emf"/><Relationship Id="rId12" Type="http://schemas.openxmlformats.org/officeDocument/2006/relationships/oleObject" Target="../embeddings/oleObject5.bin"/><Relationship Id="rId17" Type="http://schemas.openxmlformats.org/officeDocument/2006/relationships/image" Target="../media/image8.emf"/><Relationship Id="rId25" Type="http://schemas.openxmlformats.org/officeDocument/2006/relationships/image" Target="../media/image12.emf"/><Relationship Id="rId33" Type="http://schemas.openxmlformats.org/officeDocument/2006/relationships/image" Target="../media/image16.emf"/><Relationship Id="rId38" Type="http://schemas.openxmlformats.org/officeDocument/2006/relationships/oleObject" Target="../embeddings/oleObject18.bin"/><Relationship Id="rId2" Type="http://schemas.openxmlformats.org/officeDocument/2006/relationships/drawing" Target="../drawings/drawing2.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4.emf"/><Relationship Id="rId1" Type="http://schemas.openxmlformats.org/officeDocument/2006/relationships/printerSettings" Target="../printerSettings/printerSettings2.bin"/><Relationship Id="rId6" Type="http://schemas.openxmlformats.org/officeDocument/2006/relationships/oleObject" Target="../embeddings/oleObject2.bin"/><Relationship Id="rId11" Type="http://schemas.openxmlformats.org/officeDocument/2006/relationships/image" Target="../media/image5.e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8.emf"/><Relationship Id="rId5" Type="http://schemas.openxmlformats.org/officeDocument/2006/relationships/image" Target="../media/image2.emf"/><Relationship Id="rId15" Type="http://schemas.openxmlformats.org/officeDocument/2006/relationships/image" Target="../media/image7.emf"/><Relationship Id="rId23" Type="http://schemas.openxmlformats.org/officeDocument/2006/relationships/image" Target="../media/image11.e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9.emf"/><Relationship Id="rId31" Type="http://schemas.openxmlformats.org/officeDocument/2006/relationships/image" Target="../media/image15.emf"/><Relationship Id="rId4" Type="http://schemas.openxmlformats.org/officeDocument/2006/relationships/oleObject" Target="../embeddings/oleObject1.bin"/><Relationship Id="rId9" Type="http://schemas.openxmlformats.org/officeDocument/2006/relationships/image" Target="../media/image4.e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3.emf"/><Relationship Id="rId30" Type="http://schemas.openxmlformats.org/officeDocument/2006/relationships/oleObject" Target="../embeddings/oleObject14.bin"/><Relationship Id="rId35" Type="http://schemas.openxmlformats.org/officeDocument/2006/relationships/image" Target="../media/image17.emf"/></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12"/>
  <sheetViews>
    <sheetView tabSelected="1" workbookViewId="0">
      <selection activeCell="F19" sqref="F19"/>
    </sheetView>
  </sheetViews>
  <sheetFormatPr defaultRowHeight="15.75"/>
  <cols>
    <col min="1" max="1" width="13.75" style="54" customWidth="1"/>
    <col min="2" max="16384" width="9" style="54"/>
  </cols>
  <sheetData>
    <row r="2" spans="1:2">
      <c r="A2" s="54" t="s">
        <v>154</v>
      </c>
      <c r="B2" s="54" t="s">
        <v>155</v>
      </c>
    </row>
    <row r="3" spans="1:2">
      <c r="A3" s="54" t="s">
        <v>157</v>
      </c>
      <c r="B3" s="54" t="s">
        <v>156</v>
      </c>
    </row>
    <row r="4" spans="1:2">
      <c r="A4" s="54" t="s">
        <v>159</v>
      </c>
      <c r="B4" s="54" t="s">
        <v>158</v>
      </c>
    </row>
    <row r="5" spans="1:2">
      <c r="A5" s="54" t="s">
        <v>160</v>
      </c>
      <c r="B5" s="54" t="s">
        <v>161</v>
      </c>
    </row>
    <row r="7" spans="1:2">
      <c r="A7" s="53" t="s">
        <v>149</v>
      </c>
    </row>
    <row r="8" spans="1:2">
      <c r="A8" s="53" t="s">
        <v>150</v>
      </c>
    </row>
    <row r="9" spans="1:2">
      <c r="A9" s="53"/>
    </row>
    <row r="10" spans="1:2">
      <c r="A10" s="53" t="s">
        <v>151</v>
      </c>
    </row>
    <row r="11" spans="1:2">
      <c r="A11" s="53" t="s">
        <v>152</v>
      </c>
    </row>
    <row r="12" spans="1:2">
      <c r="A12" s="53" t="s">
        <v>153</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020"/>
  <sheetViews>
    <sheetView workbookViewId="0">
      <selection activeCell="A75" sqref="A75"/>
    </sheetView>
  </sheetViews>
  <sheetFormatPr defaultRowHeight="14.25"/>
  <cols>
    <col min="1" max="2" width="9.375" bestFit="1" customWidth="1"/>
    <col min="3" max="3" width="13.25" bestFit="1" customWidth="1"/>
    <col min="4" max="4" width="9.375" bestFit="1" customWidth="1"/>
    <col min="5" max="5" width="10.75" customWidth="1"/>
    <col min="6" max="7" width="9.375" bestFit="1" customWidth="1"/>
    <col min="8" max="9" width="9.25" bestFit="1" customWidth="1"/>
    <col min="10" max="10" width="9.375" bestFit="1" customWidth="1"/>
    <col min="11" max="13" width="9.25" bestFit="1" customWidth="1"/>
    <col min="14" max="18" width="9.125" bestFit="1" customWidth="1"/>
  </cols>
  <sheetData>
    <row r="1" spans="1:17" s="32" customFormat="1">
      <c r="A1" s="32" t="s">
        <v>96</v>
      </c>
    </row>
    <row r="2" spans="1:17" s="32" customFormat="1">
      <c r="G2" s="32">
        <f>0.5*C5/(1+D5)</f>
        <v>7.0007369196757558</v>
      </c>
    </row>
    <row r="3" spans="1:17" s="1" customFormat="1">
      <c r="A3" s="1" t="s">
        <v>0</v>
      </c>
      <c r="B3" s="1" t="s">
        <v>1</v>
      </c>
      <c r="C3" s="1" t="s">
        <v>2</v>
      </c>
      <c r="D3" s="1" t="s">
        <v>3</v>
      </c>
      <c r="E3" s="1" t="s">
        <v>4</v>
      </c>
      <c r="F3" s="1" t="s">
        <v>5</v>
      </c>
      <c r="G3" s="1" t="s">
        <v>6</v>
      </c>
      <c r="H3" s="1" t="s">
        <v>7</v>
      </c>
      <c r="I3" s="1" t="s">
        <v>8</v>
      </c>
      <c r="J3" s="1" t="s">
        <v>9</v>
      </c>
      <c r="K3" s="1" t="s">
        <v>10</v>
      </c>
      <c r="L3" s="2" t="s">
        <v>11</v>
      </c>
      <c r="M3" s="1" t="s">
        <v>12</v>
      </c>
      <c r="N3" s="1" t="s">
        <v>13</v>
      </c>
      <c r="O3" s="1" t="s">
        <v>14</v>
      </c>
      <c r="P3" s="1" t="s">
        <v>36</v>
      </c>
      <c r="Q3" s="1" t="s">
        <v>94</v>
      </c>
    </row>
    <row r="4" spans="1:17" s="1" customFormat="1" ht="15.75">
      <c r="A4" s="1" t="s">
        <v>15</v>
      </c>
      <c r="C4" s="1" t="s">
        <v>16</v>
      </c>
      <c r="E4" s="1" t="s">
        <v>16</v>
      </c>
      <c r="G4" s="1" t="s">
        <v>16</v>
      </c>
      <c r="H4" s="1" t="s">
        <v>15</v>
      </c>
      <c r="I4" s="1" t="s">
        <v>17</v>
      </c>
      <c r="J4" s="1" t="s">
        <v>17</v>
      </c>
      <c r="L4" s="3" t="s">
        <v>18</v>
      </c>
      <c r="M4" s="3" t="s">
        <v>19</v>
      </c>
      <c r="N4" s="1" t="s">
        <v>17</v>
      </c>
      <c r="O4" s="1" t="s">
        <v>15</v>
      </c>
      <c r="Q4" s="1" t="s">
        <v>95</v>
      </c>
    </row>
    <row r="5" spans="1:17" s="1" customFormat="1">
      <c r="A5" s="4">
        <v>290</v>
      </c>
      <c r="B5" s="4">
        <v>0.2</v>
      </c>
      <c r="C5" s="4">
        <v>19</v>
      </c>
      <c r="D5" s="4">
        <v>0.35699999999999998</v>
      </c>
      <c r="E5" s="4">
        <v>3.45</v>
      </c>
      <c r="F5" s="4">
        <v>0.35</v>
      </c>
      <c r="G5" s="4">
        <v>7</v>
      </c>
      <c r="H5" s="4">
        <v>27</v>
      </c>
      <c r="I5" s="1">
        <v>130</v>
      </c>
      <c r="J5" s="4">
        <v>57</v>
      </c>
      <c r="K5" s="4">
        <v>0.6</v>
      </c>
      <c r="L5" s="4">
        <v>0.3</v>
      </c>
      <c r="M5" s="4">
        <v>0.3</v>
      </c>
      <c r="N5" s="4">
        <v>3200</v>
      </c>
      <c r="O5" s="1">
        <f>0.5*E5/(1+F5)</f>
        <v>1.2777777777777777</v>
      </c>
      <c r="P5" s="1">
        <f>1-K5</f>
        <v>0.4</v>
      </c>
    </row>
    <row r="6" spans="1:17" s="1" customFormat="1">
      <c r="A6" s="1" t="s">
        <v>20</v>
      </c>
      <c r="C6" s="5" t="s">
        <v>21</v>
      </c>
      <c r="D6" s="5" t="s">
        <v>22</v>
      </c>
      <c r="E6" s="1" t="s">
        <v>23</v>
      </c>
      <c r="F6" s="1" t="s">
        <v>24</v>
      </c>
      <c r="G6" s="1" t="s">
        <v>25</v>
      </c>
      <c r="H6" s="1" t="s">
        <v>26</v>
      </c>
      <c r="I6" s="1" t="s">
        <v>19</v>
      </c>
      <c r="J6" s="1" t="s">
        <v>18</v>
      </c>
    </row>
    <row r="7" spans="1:17" s="1" customFormat="1">
      <c r="A7" s="1">
        <v>1.5</v>
      </c>
      <c r="B7" s="1">
        <f>A7*3.14159265359/180</f>
        <v>2.6179938779916669E-2</v>
      </c>
      <c r="C7" s="5">
        <v>1.732</v>
      </c>
      <c r="D7" s="5">
        <v>1.4830000000000001</v>
      </c>
      <c r="E7" s="1">
        <f>E5/A5</f>
        <v>1.1896551724137932E-2</v>
      </c>
      <c r="F7" s="1">
        <f>(A5*F5-E5*B5)*(G7-E7)/(A5-E5)</f>
        <v>0.1460729024590369</v>
      </c>
      <c r="G7" s="1">
        <f>L5+(1-L5)*E5/C5</f>
        <v>0.42710526315789477</v>
      </c>
      <c r="H7" s="1">
        <f>M5+(1-M5)*O5/H5</f>
        <v>0.33312757201646087</v>
      </c>
      <c r="I7" s="1">
        <f>2*I5/(4*J5*J5-I5*I5)</f>
        <v>-6.6598360655737709E-2</v>
      </c>
      <c r="J7" s="1">
        <f>-POWER(4*J5*J5+I5*I5,2)/(8*I5*(4*J5*J5-I5*I5))</f>
        <v>220.13191992433795</v>
      </c>
    </row>
    <row r="8" spans="1:17" s="1" customFormat="1"/>
    <row r="9" spans="1:17" s="1" customFormat="1">
      <c r="A9" s="6" t="s">
        <v>97</v>
      </c>
      <c r="B9" s="6"/>
    </row>
    <row r="10" spans="1:17" s="1" customFormat="1">
      <c r="A10" s="5" t="s">
        <v>27</v>
      </c>
      <c r="B10" s="5" t="s">
        <v>28</v>
      </c>
      <c r="C10" s="5" t="s">
        <v>29</v>
      </c>
      <c r="D10" s="5" t="s">
        <v>40</v>
      </c>
      <c r="F10" s="5" t="s">
        <v>39</v>
      </c>
      <c r="H10" s="5" t="s">
        <v>57</v>
      </c>
    </row>
    <row r="11" spans="1:17" s="1" customFormat="1">
      <c r="A11" s="1">
        <v>-1000</v>
      </c>
      <c r="B11" s="1">
        <v>0</v>
      </c>
      <c r="C11" s="1">
        <v>0</v>
      </c>
      <c r="D11" s="1">
        <v>1.7</v>
      </c>
      <c r="E11" s="1">
        <f>D11*3.14159265359/180</f>
        <v>2.9670597283905555E-2</v>
      </c>
      <c r="F11" s="1">
        <f>H11+D11</f>
        <v>3.2</v>
      </c>
      <c r="G11" s="1">
        <f>F11*3.14159265359/180</f>
        <v>5.5850536063822225E-2</v>
      </c>
      <c r="H11" s="1">
        <f>A7</f>
        <v>1.5</v>
      </c>
    </row>
    <row r="12" spans="1:17" s="6" customFormat="1">
      <c r="A12" s="6" t="s">
        <v>98</v>
      </c>
    </row>
    <row r="13" spans="1:17" s="1" customFormat="1">
      <c r="A13" s="1" t="s">
        <v>30</v>
      </c>
      <c r="B13" s="1" t="s">
        <v>31</v>
      </c>
      <c r="C13" s="1" t="s">
        <v>32</v>
      </c>
      <c r="E13" s="5" t="s">
        <v>47</v>
      </c>
      <c r="F13" s="1" t="s">
        <v>46</v>
      </c>
    </row>
    <row r="14" spans="1:17" s="1" customFormat="1">
      <c r="A14" s="1">
        <f>0.5*(A11+B11)+0.5*(A11-B11)*COS(2*G11)+C11*SIN(2*G11)</f>
        <v>-996.88395958029787</v>
      </c>
      <c r="B14" s="1">
        <f>0.5*(A11+B11)-0.5*(A11-B11)*COS(2*G11)-C11*SIN(2*G11)</f>
        <v>-3.1160404197021876</v>
      </c>
      <c r="C14" s="1">
        <f>-0.5*(A11-B11)*SIN(2*G11)+C11*COS(2*G11)</f>
        <v>55.73446610316639</v>
      </c>
      <c r="E14" s="1">
        <f>K5</f>
        <v>0.6</v>
      </c>
      <c r="F14" s="1">
        <f>1-E14</f>
        <v>0.4</v>
      </c>
    </row>
    <row r="15" spans="1:17" s="1" customFormat="1">
      <c r="A15" s="6" t="s">
        <v>99</v>
      </c>
    </row>
    <row r="16" spans="1:17" s="1" customFormat="1">
      <c r="A16" s="1" t="s">
        <v>33</v>
      </c>
      <c r="B16" s="1" t="s">
        <v>34</v>
      </c>
      <c r="C16" s="1" t="s">
        <v>35</v>
      </c>
      <c r="D16" s="5" t="s">
        <v>23</v>
      </c>
      <c r="E16" s="5" t="s">
        <v>24</v>
      </c>
      <c r="F16" s="5" t="s">
        <v>25</v>
      </c>
      <c r="G16" s="5" t="s">
        <v>26</v>
      </c>
    </row>
    <row r="17" spans="1:8" s="1" customFormat="1">
      <c r="A17" s="1">
        <f>A14/(E14+F14*D17)-F14*E17*B14/((E14+F14*D17)*(E14+F14*F17))</f>
        <v>-1648.0091929747623</v>
      </c>
      <c r="B17" s="1">
        <f>B14/(E14+F14*F17)</f>
        <v>-4.0423848132146363</v>
      </c>
      <c r="C17" s="1">
        <f>C14/(E14+F14*G17)</f>
        <v>76.010075558813753</v>
      </c>
      <c r="D17" s="1">
        <f>E7</f>
        <v>1.1896551724137932E-2</v>
      </c>
      <c r="E17" s="1">
        <f>F7</f>
        <v>0.1460729024590369</v>
      </c>
      <c r="F17" s="1">
        <f>G7</f>
        <v>0.42710526315789477</v>
      </c>
      <c r="G17" s="1">
        <f>H7</f>
        <v>0.33312757201646087</v>
      </c>
    </row>
    <row r="18" spans="1:8" s="1" customFormat="1">
      <c r="A18" s="6" t="s">
        <v>100</v>
      </c>
    </row>
    <row r="19" spans="1:8" s="1" customFormat="1">
      <c r="A19" s="1" t="s">
        <v>41</v>
      </c>
      <c r="B19" s="1" t="s">
        <v>42</v>
      </c>
      <c r="C19" s="1" t="s">
        <v>43</v>
      </c>
      <c r="D19" s="5" t="s">
        <v>37</v>
      </c>
      <c r="E19" s="5" t="s">
        <v>38</v>
      </c>
      <c r="F19" s="5" t="s">
        <v>48</v>
      </c>
    </row>
    <row r="20" spans="1:8" s="1" customFormat="1">
      <c r="A20" s="1">
        <f>D17*A14/(E14+F14*D17)+E14*E17*B14/((E14+F14*D17)*(E14+F14*F17))</f>
        <v>-20.19610948860166</v>
      </c>
      <c r="B20" s="1">
        <f>B17*F17*D20</f>
        <v>-2.9903392725788471</v>
      </c>
      <c r="C20" s="1">
        <f>C17*G17*E20</f>
        <v>37.55111999690822</v>
      </c>
      <c r="D20" s="1">
        <f>C7</f>
        <v>1.732</v>
      </c>
      <c r="E20" s="1">
        <f>D7</f>
        <v>1.4830000000000001</v>
      </c>
      <c r="F20" s="1">
        <f>O5</f>
        <v>1.2777777777777777</v>
      </c>
    </row>
    <row r="21" spans="1:8" s="1" customFormat="1">
      <c r="A21" s="1" t="s">
        <v>101</v>
      </c>
    </row>
    <row r="22" spans="1:8" s="1" customFormat="1">
      <c r="A22" s="1" t="s">
        <v>44</v>
      </c>
      <c r="B22" s="4" t="s">
        <v>45</v>
      </c>
      <c r="C22" s="7" t="s">
        <v>58</v>
      </c>
      <c r="D22" s="6" t="s">
        <v>40</v>
      </c>
      <c r="E22" s="5" t="s">
        <v>49</v>
      </c>
      <c r="F22" s="5" t="s">
        <v>50</v>
      </c>
    </row>
    <row r="23" spans="1:8" s="1" customFormat="1">
      <c r="A23" s="1">
        <f>SQRT(((A20+B20)*E23-1-2*E23*F23)/(2*E23*E23))</f>
        <v>58.023368389124343</v>
      </c>
      <c r="B23" s="1">
        <f>(E14+F14*G17)*A23/(G17*E20)</f>
        <v>86.119973490576342</v>
      </c>
      <c r="C23" s="8">
        <f>(E11-D23)*100</f>
        <v>-0.11058056161836333</v>
      </c>
      <c r="D23" s="2">
        <f>B23*(1-E14)*3.14159265359/(2*F20*1000*(SQRT(E14)*SQRT(1-E14)+ASIN(SQRT(E14))))</f>
        <v>3.0776402900089189E-2</v>
      </c>
      <c r="E23" s="1">
        <f>I7</f>
        <v>-6.6598360655737709E-2</v>
      </c>
      <c r="F23" s="1">
        <f>J7</f>
        <v>220.13191992433795</v>
      </c>
    </row>
    <row r="24" spans="1:8" s="1" customFormat="1">
      <c r="A24" s="6" t="s">
        <v>102</v>
      </c>
    </row>
    <row r="25" spans="1:8" s="1" customFormat="1">
      <c r="A25" s="1" t="s">
        <v>53</v>
      </c>
      <c r="B25" s="1" t="s">
        <v>51</v>
      </c>
      <c r="C25" s="1" t="s">
        <v>52</v>
      </c>
      <c r="D25" s="1" t="s">
        <v>54</v>
      </c>
      <c r="E25" s="1" t="s">
        <v>55</v>
      </c>
      <c r="F25" s="1" t="s">
        <v>56</v>
      </c>
    </row>
    <row r="26" spans="1:8" s="1" customFormat="1">
      <c r="A26" s="1">
        <f>D26</f>
        <v>1.5394075373326128</v>
      </c>
      <c r="B26" s="1">
        <f>0.5*(A20+B20)</f>
        <v>-11.593224380590254</v>
      </c>
      <c r="C26" s="1">
        <f>SQRT(0.25*(A20-B20)*(A20-B20)+C20*C20)</f>
        <v>38.523969748766092</v>
      </c>
      <c r="D26" s="1">
        <f>(4*E23*B26+F26)/(8*E23*E23*C26*C26)</f>
        <v>1.5394075373326128</v>
      </c>
      <c r="E26" s="1">
        <f>(4*E23*B26-F26)/(8*E23*E23*C26*C26)</f>
        <v>-1.4221127705211065</v>
      </c>
      <c r="F26" s="1">
        <f>SQRT(16*E23*E23*B26*B26-16*E23*E23*C26*C26*(1+4*E23*F23))</f>
        <v>77.976520252213817</v>
      </c>
    </row>
    <row r="27" spans="1:8" s="1" customFormat="1"/>
    <row r="28" spans="1:8" s="1" customFormat="1">
      <c r="A28" s="6" t="s">
        <v>97</v>
      </c>
      <c r="B28" s="6"/>
    </row>
    <row r="29" spans="1:8" s="1" customFormat="1">
      <c r="A29" s="5" t="s">
        <v>27</v>
      </c>
      <c r="B29" s="5" t="s">
        <v>28</v>
      </c>
      <c r="C29" s="5" t="s">
        <v>29</v>
      </c>
      <c r="D29" s="5" t="s">
        <v>40</v>
      </c>
      <c r="F29" s="5" t="s">
        <v>39</v>
      </c>
      <c r="H29" s="5" t="s">
        <v>57</v>
      </c>
    </row>
    <row r="30" spans="1:8" s="1" customFormat="1">
      <c r="A30" s="1">
        <f>A11</f>
        <v>-1000</v>
      </c>
      <c r="B30" s="1">
        <f>B11</f>
        <v>0</v>
      </c>
      <c r="C30" s="1">
        <f>C11</f>
        <v>0</v>
      </c>
      <c r="D30" s="1">
        <v>1.8</v>
      </c>
      <c r="E30" s="1">
        <f>D30*3.14159265359/180</f>
        <v>3.1415926535900002E-2</v>
      </c>
      <c r="F30" s="1">
        <f>H30+D30</f>
        <v>3.3</v>
      </c>
      <c r="G30" s="1">
        <f>F30*3.14159265359/180</f>
        <v>5.7595865315816661E-2</v>
      </c>
      <c r="H30" s="1">
        <f>H11</f>
        <v>1.5</v>
      </c>
    </row>
    <row r="31" spans="1:8" s="1" customFormat="1">
      <c r="A31" s="6" t="s">
        <v>98</v>
      </c>
    </row>
    <row r="32" spans="1:8" s="1" customFormat="1">
      <c r="A32" s="1" t="s">
        <v>30</v>
      </c>
      <c r="B32" s="1" t="s">
        <v>31</v>
      </c>
      <c r="C32" s="1" t="s">
        <v>32</v>
      </c>
      <c r="E32" s="5" t="s">
        <v>47</v>
      </c>
      <c r="F32" s="1" t="s">
        <v>46</v>
      </c>
    </row>
    <row r="33" spans="1:8" s="1" customFormat="1">
      <c r="A33" s="1">
        <f>0.5*(A30+B30)+0.5*(A30-B30)*COS(2*G30)+C30*SIN(2*G30)</f>
        <v>-996.68638280019786</v>
      </c>
      <c r="B33" s="1">
        <f>0.5*(A30+B30)-0.5*(A30-B30)*COS(2*G30)-C30*SIN(2*G30)</f>
        <v>-3.313617199802195</v>
      </c>
      <c r="C33" s="1">
        <f>-0.5*(A30-B30)*SIN(2*G30)+C30*COS(2*G30)</f>
        <v>57.468575246437069</v>
      </c>
      <c r="E33" s="1">
        <f>E14</f>
        <v>0.6</v>
      </c>
      <c r="F33" s="1">
        <f>1-E33</f>
        <v>0.4</v>
      </c>
    </row>
    <row r="34" spans="1:8" s="1" customFormat="1">
      <c r="A34" s="6" t="s">
        <v>99</v>
      </c>
    </row>
    <row r="35" spans="1:8" s="1" customFormat="1">
      <c r="A35" s="1" t="s">
        <v>33</v>
      </c>
      <c r="B35" s="1" t="s">
        <v>34</v>
      </c>
      <c r="C35" s="1" t="s">
        <v>35</v>
      </c>
      <c r="D35" s="5" t="s">
        <v>23</v>
      </c>
      <c r="E35" s="5" t="s">
        <v>24</v>
      </c>
      <c r="F35" s="5" t="s">
        <v>25</v>
      </c>
      <c r="G35" s="5" t="s">
        <v>26</v>
      </c>
    </row>
    <row r="36" spans="1:8" s="1" customFormat="1">
      <c r="A36" s="1">
        <f>A33/(E33+F33*D36)-F33*E36*B33/((E33+F33*D36)*(E33+F33*F36))</f>
        <v>-1647.6577255944262</v>
      </c>
      <c r="B36" s="1">
        <f>B33/(E33+F33*F36)</f>
        <v>-4.2986977192572517</v>
      </c>
      <c r="C36" s="1">
        <f>C33/(E33+F33*G36)</f>
        <v>78.375035272669265</v>
      </c>
      <c r="D36" s="1">
        <f>D17</f>
        <v>1.1896551724137932E-2</v>
      </c>
      <c r="E36" s="1">
        <f>E17</f>
        <v>0.1460729024590369</v>
      </c>
      <c r="F36" s="1">
        <f>F17</f>
        <v>0.42710526315789477</v>
      </c>
      <c r="G36" s="1">
        <f>G17</f>
        <v>0.33312757201646087</v>
      </c>
    </row>
    <row r="37" spans="1:8" s="1" customFormat="1">
      <c r="A37" s="6" t="s">
        <v>100</v>
      </c>
    </row>
    <row r="38" spans="1:8" s="1" customFormat="1">
      <c r="A38" s="1" t="s">
        <v>41</v>
      </c>
      <c r="B38" s="1" t="s">
        <v>42</v>
      </c>
      <c r="C38" s="1" t="s">
        <v>43</v>
      </c>
      <c r="D38" s="5" t="s">
        <v>37</v>
      </c>
      <c r="E38" s="5" t="s">
        <v>38</v>
      </c>
      <c r="F38" s="5" t="s">
        <v>48</v>
      </c>
    </row>
    <row r="39" spans="1:8" s="1" customFormat="1">
      <c r="A39" s="1">
        <f>D36*A33/(E33+F33*D36)+E33*E36*B33/((E33+F33*D36)*(E33+F33*F36))</f>
        <v>-20.229368608855506</v>
      </c>
      <c r="B39" s="1">
        <f>B36*F36*D39</f>
        <v>-3.1799458005131651</v>
      </c>
      <c r="C39" s="1">
        <f>C36*G36*E39</f>
        <v>38.719476762112684</v>
      </c>
      <c r="D39" s="1">
        <f>D20</f>
        <v>1.732</v>
      </c>
      <c r="E39" s="1">
        <f>E20</f>
        <v>1.4830000000000001</v>
      </c>
      <c r="F39" s="1">
        <f>F20</f>
        <v>1.2777777777777777</v>
      </c>
    </row>
    <row r="40" spans="1:8" s="1" customFormat="1">
      <c r="A40" s="1" t="s">
        <v>103</v>
      </c>
    </row>
    <row r="41" spans="1:8" s="1" customFormat="1">
      <c r="A41" s="1" t="s">
        <v>44</v>
      </c>
      <c r="B41" s="4" t="s">
        <v>45</v>
      </c>
      <c r="C41" s="7" t="s">
        <v>58</v>
      </c>
      <c r="D41" s="6" t="s">
        <v>40</v>
      </c>
      <c r="E41" s="5" t="s">
        <v>49</v>
      </c>
      <c r="F41" s="5" t="s">
        <v>50</v>
      </c>
    </row>
    <row r="42" spans="1:8" s="1" customFormat="1">
      <c r="A42" s="1">
        <f>SQRT(((A39+B39)*E42-1-2*E42*F42)/(2*E42*E42))</f>
        <v>58.037784984719956</v>
      </c>
      <c r="B42" s="1">
        <f>(E33+F33*G36)*A42/(G36*E39)</f>
        <v>86.141371021691597</v>
      </c>
      <c r="C42" s="8">
        <f>(E30-D42)*100</f>
        <v>6.3187687267355144E-2</v>
      </c>
      <c r="D42" s="2">
        <f>B42*(1-E33)*3.14159265359/(2*F39*1000*(SQRT(E33)*SQRT(1-E33)+ASIN(SQRT(E33))))</f>
        <v>3.078404966322645E-2</v>
      </c>
      <c r="E42" s="1">
        <f>E23</f>
        <v>-6.6598360655737709E-2</v>
      </c>
      <c r="F42" s="1">
        <f>F23</f>
        <v>220.13191992433795</v>
      </c>
    </row>
    <row r="43" spans="1:8" s="1" customFormat="1">
      <c r="A43" s="6" t="s">
        <v>102</v>
      </c>
    </row>
    <row r="44" spans="1:8" s="1" customFormat="1">
      <c r="A44" s="1" t="s">
        <v>53</v>
      </c>
      <c r="B44" s="1" t="s">
        <v>51</v>
      </c>
      <c r="C44" s="1" t="s">
        <v>52</v>
      </c>
      <c r="D44" s="1" t="s">
        <v>54</v>
      </c>
      <c r="E44" s="1" t="s">
        <v>55</v>
      </c>
      <c r="F44" s="1" t="s">
        <v>56</v>
      </c>
    </row>
    <row r="45" spans="1:8" s="1" customFormat="1">
      <c r="A45" s="1">
        <f>D45</f>
        <v>1.4946862176028937</v>
      </c>
      <c r="B45" s="1">
        <f>0.5*(A39+B39)</f>
        <v>-11.704657204684334</v>
      </c>
      <c r="C45" s="1">
        <f>SQRT(0.25*(A39-B39)*(A39-B39)+C39*C39)</f>
        <v>39.646797919330005</v>
      </c>
      <c r="D45" s="1">
        <f>(4*E42*B45+F45)/(8*E42*E42*C45*C45)</f>
        <v>1.4946862176028937</v>
      </c>
      <c r="E45" s="1">
        <f>(4*E42*B45-F45)/(8*E42*E42*C45*C45)</f>
        <v>-1.3828766608956302</v>
      </c>
      <c r="F45" s="1">
        <f>SQRT(16*E42*E42*B45*B45-16*E42*E42*C45*C45*(1+4*E42*F42))</f>
        <v>80.246874448557762</v>
      </c>
    </row>
    <row r="46" spans="1:8" s="1" customFormat="1">
      <c r="A46" s="5"/>
      <c r="B46" s="5"/>
      <c r="C46" s="5"/>
      <c r="D46" s="5"/>
      <c r="F46" s="5"/>
    </row>
    <row r="47" spans="1:8" s="1" customFormat="1">
      <c r="A47" s="6" t="s">
        <v>97</v>
      </c>
      <c r="B47" s="6"/>
    </row>
    <row r="48" spans="1:8" s="1" customFormat="1">
      <c r="A48" s="5" t="s">
        <v>27</v>
      </c>
      <c r="B48" s="5" t="s">
        <v>28</v>
      </c>
      <c r="C48" s="5" t="s">
        <v>29</v>
      </c>
      <c r="D48" s="5" t="s">
        <v>40</v>
      </c>
      <c r="F48" s="5" t="s">
        <v>39</v>
      </c>
      <c r="H48" s="5" t="s">
        <v>57</v>
      </c>
    </row>
    <row r="49" spans="1:8" s="1" customFormat="1">
      <c r="A49" s="1">
        <v>-1500</v>
      </c>
      <c r="B49" s="1">
        <f>B30</f>
        <v>0</v>
      </c>
      <c r="C49" s="1">
        <f>C30</f>
        <v>0</v>
      </c>
      <c r="D49" s="1">
        <v>1.786</v>
      </c>
      <c r="E49" s="1">
        <f>D49*3.14159265359/180</f>
        <v>3.1171580440620777E-2</v>
      </c>
      <c r="F49" s="1">
        <f>H49+D49</f>
        <v>3.286</v>
      </c>
      <c r="G49" s="1">
        <f>F49*3.14159265359/180</f>
        <v>5.7351519220537446E-2</v>
      </c>
      <c r="H49" s="1">
        <f>H30</f>
        <v>1.5</v>
      </c>
    </row>
    <row r="50" spans="1:8" s="1" customFormat="1">
      <c r="A50" s="6" t="s">
        <v>98</v>
      </c>
    </row>
    <row r="51" spans="1:8" s="1" customFormat="1">
      <c r="A51" s="1" t="s">
        <v>30</v>
      </c>
      <c r="B51" s="1" t="s">
        <v>31</v>
      </c>
      <c r="C51" s="1" t="s">
        <v>32</v>
      </c>
      <c r="E51" s="5" t="s">
        <v>47</v>
      </c>
      <c r="F51" s="1" t="s">
        <v>46</v>
      </c>
    </row>
    <row r="52" spans="1:8" s="1" customFormat="1">
      <c r="A52" s="1">
        <f>0.5*(A49+B49)+0.5*(A49-B49)*COS(2*G49)+C49*SIN(2*G49)</f>
        <v>-1495.0716119005069</v>
      </c>
      <c r="B52" s="1">
        <f>0.5*(A49+B49)-0.5*(A49-B49)*COS(2*G49)-C49*SIN(2*G49)</f>
        <v>-4.9283880994929632</v>
      </c>
      <c r="C52" s="1">
        <f>-0.5*(A49-B49)*SIN(2*G49)+C49*COS(2*G49)</f>
        <v>85.838762456014734</v>
      </c>
      <c r="E52" s="1">
        <f>E33</f>
        <v>0.6</v>
      </c>
      <c r="F52" s="1">
        <f>1-E52</f>
        <v>0.4</v>
      </c>
    </row>
    <row r="53" spans="1:8" s="1" customFormat="1">
      <c r="A53" s="6" t="s">
        <v>99</v>
      </c>
    </row>
    <row r="54" spans="1:8" s="1" customFormat="1">
      <c r="A54" s="1" t="s">
        <v>33</v>
      </c>
      <c r="B54" s="1" t="s">
        <v>34</v>
      </c>
      <c r="C54" s="1" t="s">
        <v>35</v>
      </c>
      <c r="D54" s="5" t="s">
        <v>23</v>
      </c>
      <c r="E54" s="5" t="s">
        <v>24</v>
      </c>
      <c r="F54" s="5" t="s">
        <v>25</v>
      </c>
      <c r="G54" s="5" t="s">
        <v>26</v>
      </c>
    </row>
    <row r="55" spans="1:8" s="1" customFormat="1">
      <c r="A55" s="1">
        <f>A52/(E52+F52*D55)-F52*E55*B52/((E52+F52*D55)*(E52+F52*F55))</f>
        <v>-2471.5613688408434</v>
      </c>
      <c r="B55" s="1">
        <f>B52/(E52+F52*F55)</f>
        <v>-6.3935118046132935</v>
      </c>
      <c r="C55" s="1">
        <f>C52/(E52+F52*G55)</f>
        <v>117.06599661472433</v>
      </c>
      <c r="D55" s="1">
        <f>D36</f>
        <v>1.1896551724137932E-2</v>
      </c>
      <c r="E55" s="1">
        <f>E36</f>
        <v>0.1460729024590369</v>
      </c>
      <c r="F55" s="1">
        <f>F36</f>
        <v>0.42710526315789477</v>
      </c>
      <c r="G55" s="1">
        <f>G36</f>
        <v>0.33312757201646087</v>
      </c>
    </row>
    <row r="56" spans="1:8" s="1" customFormat="1">
      <c r="A56" s="6" t="s">
        <v>100</v>
      </c>
    </row>
    <row r="57" spans="1:8" s="1" customFormat="1">
      <c r="A57" s="1" t="s">
        <v>41</v>
      </c>
      <c r="B57" s="1" t="s">
        <v>42</v>
      </c>
      <c r="C57" s="1" t="s">
        <v>43</v>
      </c>
      <c r="D57" s="5" t="s">
        <v>37</v>
      </c>
      <c r="E57" s="5" t="s">
        <v>38</v>
      </c>
      <c r="F57" s="5" t="s">
        <v>48</v>
      </c>
    </row>
    <row r="58" spans="1:8" s="1" customFormat="1">
      <c r="A58" s="1">
        <f>D55*A52/(E52+F52*D55)+E52*E55*B52/((E52+F52*D55)*(E52+F52*F55))</f>
        <v>-30.336976490002222</v>
      </c>
      <c r="B58" s="1">
        <f>B55*F55*D58</f>
        <v>-4.7295768024191931</v>
      </c>
      <c r="C58" s="1">
        <f>C55*G55*E58</f>
        <v>57.833902336220369</v>
      </c>
      <c r="D58" s="1">
        <f>D39</f>
        <v>1.732</v>
      </c>
      <c r="E58" s="1">
        <f>E39</f>
        <v>1.4830000000000001</v>
      </c>
      <c r="F58" s="1">
        <f>F39</f>
        <v>1.2777777777777777</v>
      </c>
    </row>
    <row r="59" spans="1:8" s="1" customFormat="1">
      <c r="A59" s="1" t="s">
        <v>103</v>
      </c>
    </row>
    <row r="60" spans="1:8" s="1" customFormat="1">
      <c r="A60" s="1" t="s">
        <v>44</v>
      </c>
      <c r="B60" s="4" t="s">
        <v>45</v>
      </c>
      <c r="C60" s="7" t="s">
        <v>58</v>
      </c>
      <c r="D60" s="6" t="s">
        <v>40</v>
      </c>
      <c r="E60" s="5" t="s">
        <v>49</v>
      </c>
      <c r="F60" s="5" t="s">
        <v>50</v>
      </c>
    </row>
    <row r="61" spans="1:8" s="1" customFormat="1">
      <c r="A61" s="1">
        <f>SQRT(((A58+B58)*E61-1-2*E61*F61)/(2*E61*E61))</f>
        <v>58.786932634930125</v>
      </c>
      <c r="B61" s="1">
        <f>(E52+F52*G55)*A61/(G55*E58)</f>
        <v>87.25327778560019</v>
      </c>
      <c r="C61" s="8">
        <f>(E49-D61)*100</f>
        <v>-9.827572432969528E-4</v>
      </c>
      <c r="D61" s="2">
        <f>B61*(1-E52)*3.14159265359/(2*F58*1000*(SQRT(E52)*SQRT(1-E52)+ASIN(SQRT(E52))))</f>
        <v>3.1181408013053746E-2</v>
      </c>
      <c r="E61" s="1">
        <f>E42</f>
        <v>-6.6598360655737709E-2</v>
      </c>
      <c r="F61" s="1">
        <f>F42</f>
        <v>220.13191992433795</v>
      </c>
    </row>
    <row r="62" spans="1:8" s="1" customFormat="1">
      <c r="A62" s="6" t="s">
        <v>102</v>
      </c>
    </row>
    <row r="63" spans="1:8" s="1" customFormat="1">
      <c r="A63" s="1" t="s">
        <v>53</v>
      </c>
      <c r="B63" s="1" t="s">
        <v>51</v>
      </c>
      <c r="C63" s="1" t="s">
        <v>52</v>
      </c>
      <c r="D63" s="1" t="s">
        <v>54</v>
      </c>
      <c r="E63" s="1" t="s">
        <v>55</v>
      </c>
      <c r="F63" s="1" t="s">
        <v>56</v>
      </c>
    </row>
    <row r="64" spans="1:8" s="1" customFormat="1">
      <c r="A64" s="1">
        <f>D64</f>
        <v>1.0005289987206385</v>
      </c>
      <c r="B64" s="1">
        <f>0.5*(A58+B58)</f>
        <v>-17.533276646210709</v>
      </c>
      <c r="C64" s="1">
        <f>SQRT(0.25*(A58-B58)*(A58-B58)+C58*C58)</f>
        <v>59.234238318099294</v>
      </c>
      <c r="D64" s="1">
        <f>(4*E61*B64+F64)/(8*E61*E61*C64*C64)</f>
        <v>1.0005289987206385</v>
      </c>
      <c r="E64" s="1">
        <f>(4*E61*B64-F64)/(8*E61*E61*C64*C64)</f>
        <v>-0.92549571904635708</v>
      </c>
      <c r="F64" s="1">
        <f>SQRT(16*E61*E61*B64*B64-16*E61*E61*C64*C64*(1+4*E61*F61))</f>
        <v>119.89319735865234</v>
      </c>
    </row>
    <row r="65" spans="1:16" s="1" customFormat="1">
      <c r="A65" s="6" t="s">
        <v>105</v>
      </c>
      <c r="D65" s="1">
        <f>N5*A49/A55</f>
        <v>1942.0921772422705</v>
      </c>
    </row>
    <row r="66" spans="1:16" s="1" customFormat="1">
      <c r="A66" s="6" t="s">
        <v>104</v>
      </c>
      <c r="D66" s="1">
        <f>I5*A49/A58</f>
        <v>6427.7994237251596</v>
      </c>
    </row>
    <row r="67" spans="1:16" s="1" customFormat="1">
      <c r="A67" s="6" t="s">
        <v>106</v>
      </c>
    </row>
    <row r="68" spans="1:16" s="1" customFormat="1">
      <c r="A68" s="1" t="s">
        <v>59</v>
      </c>
      <c r="C68" s="1" t="s">
        <v>60</v>
      </c>
      <c r="D68" s="1" t="s">
        <v>61</v>
      </c>
      <c r="E68" s="1" t="s">
        <v>62</v>
      </c>
      <c r="F68" s="1" t="s">
        <v>63</v>
      </c>
    </row>
    <row r="69" spans="1:16" s="1" customFormat="1">
      <c r="A69" s="1">
        <v>9.91</v>
      </c>
      <c r="B69" s="1">
        <f>A69*3.13159265359/180</f>
        <v>0.17241157331709389</v>
      </c>
      <c r="C69" s="1">
        <f>0.5*A64*(A58-B58)*COS(2*B69)</f>
        <v>-12.056387683602759</v>
      </c>
      <c r="D69" s="1">
        <f>A64*C58*SIN(2*B69)</f>
        <v>19.559949581176181</v>
      </c>
      <c r="E69" s="1">
        <f>(2*E61*B64*A64-1)/(2*E61)-A64*B64</f>
        <v>7.5076923076923059</v>
      </c>
      <c r="F69" s="1">
        <f>(C69+D69-E69)*100</f>
        <v>-0.41304101188845976</v>
      </c>
    </row>
    <row r="70" spans="1:16" s="1" customFormat="1">
      <c r="A70" s="1">
        <v>9.92</v>
      </c>
      <c r="B70" s="1">
        <f>A70*3.13159265359/180</f>
        <v>0.17258555068673778</v>
      </c>
      <c r="C70" s="1">
        <f>0.5*A64*(A58-B58)*COS(2*B70)</f>
        <v>-12.05488019589454</v>
      </c>
      <c r="D70" s="1">
        <f>A64*C58*SIN(2*B70)</f>
        <v>19.578897426281912</v>
      </c>
      <c r="E70" s="1">
        <f>(2*E61*B64*A64-1)/(2*E61)-A64*B64</f>
        <v>7.5076923076923059</v>
      </c>
      <c r="F70" s="1">
        <f>(C70+D70-E70)*100</f>
        <v>1.6324922695066135</v>
      </c>
    </row>
    <row r="73" spans="1:16" s="32" customFormat="1"/>
    <row r="74" spans="1:16" s="1" customFormat="1">
      <c r="M74" s="2"/>
    </row>
    <row r="75" spans="1:16" s="1" customFormat="1" ht="15.75">
      <c r="M75" s="3"/>
      <c r="N75" s="3"/>
    </row>
    <row r="76" spans="1:16" s="1" customFormat="1">
      <c r="A76" s="4"/>
      <c r="B76" s="4"/>
      <c r="C76" s="4"/>
      <c r="D76" s="4"/>
      <c r="E76" s="4"/>
      <c r="F76" s="4"/>
      <c r="G76" s="4"/>
      <c r="H76" s="4"/>
      <c r="I76" s="4"/>
      <c r="K76" s="4"/>
      <c r="L76" s="4"/>
      <c r="M76" s="4"/>
      <c r="N76" s="4"/>
      <c r="O76" s="4"/>
      <c r="P76" s="4"/>
    </row>
    <row r="77" spans="1:16" s="1" customFormat="1">
      <c r="C77" s="5"/>
      <c r="D77" s="5"/>
    </row>
    <row r="78" spans="1:16" s="1" customFormat="1">
      <c r="C78" s="5"/>
      <c r="D78" s="5"/>
    </row>
    <row r="79" spans="1:16" s="1" customFormat="1"/>
    <row r="80" spans="1:16" s="1" customFormat="1">
      <c r="A80" s="6"/>
      <c r="B80" s="6"/>
    </row>
    <row r="81" spans="1:8" s="1" customFormat="1">
      <c r="A81" s="5"/>
      <c r="B81" s="5"/>
      <c r="C81" s="5"/>
      <c r="D81" s="5"/>
      <c r="F81" s="5"/>
      <c r="H81" s="5"/>
    </row>
    <row r="82" spans="1:8" s="1" customFormat="1"/>
    <row r="83" spans="1:8" s="1" customFormat="1"/>
    <row r="84" spans="1:8" s="1" customFormat="1">
      <c r="E84" s="5"/>
    </row>
    <row r="85" spans="1:8" s="1" customFormat="1"/>
    <row r="86" spans="1:8" s="1" customFormat="1"/>
    <row r="87" spans="1:8" s="1" customFormat="1">
      <c r="D87" s="5"/>
      <c r="E87" s="5"/>
      <c r="F87" s="5"/>
      <c r="G87" s="5"/>
    </row>
    <row r="88" spans="1:8" s="1" customFormat="1"/>
    <row r="89" spans="1:8" s="1" customFormat="1"/>
    <row r="90" spans="1:8" s="1" customFormat="1">
      <c r="D90" s="5"/>
      <c r="E90" s="5"/>
      <c r="F90" s="5"/>
    </row>
    <row r="91" spans="1:8" s="1" customFormat="1"/>
    <row r="92" spans="1:8" s="1" customFormat="1"/>
    <row r="93" spans="1:8" s="1" customFormat="1">
      <c r="B93" s="4"/>
      <c r="C93" s="7"/>
      <c r="D93" s="6"/>
      <c r="E93" s="5"/>
      <c r="F93" s="5"/>
    </row>
    <row r="94" spans="1:8" s="1" customFormat="1">
      <c r="C94" s="8"/>
      <c r="D94" s="2"/>
    </row>
    <row r="95" spans="1:8" s="1" customFormat="1"/>
    <row r="96" spans="1:8" s="1" customFormat="1"/>
    <row r="97" spans="1:8" s="1" customFormat="1"/>
    <row r="98" spans="1:8" s="1" customFormat="1"/>
    <row r="99" spans="1:8" s="1" customFormat="1">
      <c r="A99" s="6"/>
      <c r="B99" s="6"/>
    </row>
    <row r="100" spans="1:8" s="1" customFormat="1">
      <c r="A100" s="5"/>
      <c r="B100" s="5"/>
      <c r="C100" s="5"/>
      <c r="D100" s="5"/>
      <c r="F100" s="5"/>
      <c r="H100" s="5"/>
    </row>
    <row r="101" spans="1:8" s="1" customFormat="1"/>
    <row r="102" spans="1:8" s="1" customFormat="1"/>
    <row r="103" spans="1:8" s="1" customFormat="1">
      <c r="E103" s="5"/>
    </row>
    <row r="104" spans="1:8" s="1" customFormat="1"/>
    <row r="105" spans="1:8" s="1" customFormat="1"/>
    <row r="106" spans="1:8" s="1" customFormat="1">
      <c r="D106" s="5"/>
      <c r="E106" s="5"/>
      <c r="F106" s="5"/>
      <c r="G106" s="5"/>
    </row>
    <row r="107" spans="1:8" s="1" customFormat="1"/>
    <row r="108" spans="1:8" s="1" customFormat="1"/>
    <row r="109" spans="1:8" s="1" customFormat="1">
      <c r="D109" s="5"/>
      <c r="E109" s="5"/>
      <c r="F109" s="5"/>
    </row>
    <row r="110" spans="1:8" s="1" customFormat="1"/>
    <row r="111" spans="1:8" s="1" customFormat="1"/>
    <row r="112" spans="1:8" s="1" customFormat="1">
      <c r="B112" s="4"/>
      <c r="C112" s="7"/>
      <c r="D112" s="6"/>
      <c r="E112" s="5"/>
      <c r="F112" s="5"/>
    </row>
    <row r="113" spans="1:8" s="1" customFormat="1">
      <c r="C113" s="8"/>
      <c r="D113" s="2"/>
    </row>
    <row r="114" spans="1:8" s="1" customFormat="1"/>
    <row r="115" spans="1:8" s="1" customFormat="1"/>
    <row r="116" spans="1:8" s="1" customFormat="1"/>
    <row r="117" spans="1:8" s="1" customFormat="1">
      <c r="A117" s="5"/>
      <c r="B117" s="5"/>
      <c r="C117" s="5"/>
      <c r="D117" s="5"/>
      <c r="F117" s="5"/>
    </row>
    <row r="118" spans="1:8" s="1" customFormat="1">
      <c r="A118" s="6"/>
      <c r="B118" s="6"/>
    </row>
    <row r="119" spans="1:8" s="1" customFormat="1">
      <c r="A119" s="5"/>
      <c r="B119" s="5"/>
      <c r="C119" s="5"/>
      <c r="D119" s="5"/>
      <c r="F119" s="5"/>
      <c r="H119" s="5"/>
    </row>
    <row r="120" spans="1:8" s="1" customFormat="1"/>
    <row r="121" spans="1:8" s="1" customFormat="1"/>
    <row r="122" spans="1:8" s="1" customFormat="1">
      <c r="E122" s="5"/>
    </row>
    <row r="123" spans="1:8" s="1" customFormat="1"/>
    <row r="124" spans="1:8" s="1" customFormat="1"/>
    <row r="125" spans="1:8" s="1" customFormat="1">
      <c r="D125" s="5"/>
      <c r="E125" s="5"/>
      <c r="F125" s="5"/>
      <c r="G125" s="5"/>
    </row>
    <row r="126" spans="1:8" s="1" customFormat="1"/>
    <row r="127" spans="1:8" s="1" customFormat="1"/>
    <row r="128" spans="1:8" s="1" customFormat="1">
      <c r="D128" s="5"/>
      <c r="E128" s="5"/>
      <c r="F128" s="5"/>
    </row>
    <row r="129" spans="2:6" s="1" customFormat="1"/>
    <row r="130" spans="2:6" s="1" customFormat="1"/>
    <row r="131" spans="2:6" s="1" customFormat="1">
      <c r="B131" s="4"/>
      <c r="C131" s="7"/>
      <c r="D131" s="6"/>
      <c r="E131" s="5"/>
      <c r="F131" s="5"/>
    </row>
    <row r="132" spans="2:6" s="1" customFormat="1">
      <c r="C132" s="8"/>
      <c r="D132" s="2"/>
    </row>
    <row r="133" spans="2:6" s="1" customFormat="1"/>
    <row r="134" spans="2:6" s="1" customFormat="1"/>
    <row r="135" spans="2:6" s="1" customFormat="1"/>
    <row r="136" spans="2:6" s="1" customFormat="1"/>
    <row r="137" spans="2:6" s="1" customFormat="1"/>
    <row r="138" spans="2:6" s="1" customFormat="1"/>
    <row r="139" spans="2:6" s="1" customFormat="1"/>
    <row r="140" spans="2:6" s="1" customFormat="1"/>
    <row r="141" spans="2:6" s="1" customFormat="1"/>
    <row r="144" spans="2:6" s="32" customFormat="1"/>
    <row r="145" spans="1:16" s="1" customFormat="1">
      <c r="M145" s="2"/>
    </row>
    <row r="146" spans="1:16" s="1" customFormat="1" ht="15.75">
      <c r="M146" s="3"/>
      <c r="N146" s="3"/>
    </row>
    <row r="147" spans="1:16" s="1" customFormat="1">
      <c r="A147" s="4"/>
      <c r="B147" s="4"/>
      <c r="C147" s="4"/>
      <c r="D147" s="4"/>
      <c r="E147" s="4"/>
      <c r="F147" s="4"/>
      <c r="G147" s="4"/>
      <c r="H147" s="4"/>
      <c r="I147" s="4"/>
      <c r="K147" s="4"/>
      <c r="L147" s="4"/>
      <c r="M147" s="4"/>
      <c r="N147" s="4"/>
      <c r="O147" s="4"/>
      <c r="P147" s="4"/>
    </row>
    <row r="148" spans="1:16" s="1" customFormat="1">
      <c r="C148" s="5"/>
      <c r="D148" s="5"/>
    </row>
    <row r="149" spans="1:16" s="1" customFormat="1">
      <c r="C149" s="5"/>
      <c r="D149" s="5"/>
    </row>
    <row r="150" spans="1:16" s="1" customFormat="1"/>
    <row r="151" spans="1:16" s="1" customFormat="1">
      <c r="A151" s="6"/>
      <c r="B151" s="6"/>
    </row>
    <row r="152" spans="1:16" s="1" customFormat="1">
      <c r="A152" s="5"/>
      <c r="B152" s="5"/>
      <c r="C152" s="5"/>
      <c r="D152" s="5"/>
      <c r="F152" s="5"/>
      <c r="H152" s="5"/>
    </row>
    <row r="153" spans="1:16" s="1" customFormat="1"/>
    <row r="154" spans="1:16" s="1" customFormat="1"/>
    <row r="155" spans="1:16" s="1" customFormat="1">
      <c r="E155" s="5"/>
    </row>
    <row r="156" spans="1:16" s="1" customFormat="1"/>
    <row r="157" spans="1:16" s="1" customFormat="1"/>
    <row r="158" spans="1:16" s="1" customFormat="1">
      <c r="D158" s="5"/>
      <c r="E158" s="5"/>
      <c r="F158" s="5"/>
      <c r="G158" s="5"/>
    </row>
    <row r="159" spans="1:16" s="1" customFormat="1"/>
    <row r="160" spans="1:16" s="1" customFormat="1"/>
    <row r="161" spans="1:8" s="1" customFormat="1">
      <c r="D161" s="5"/>
      <c r="E161" s="5"/>
      <c r="F161" s="5"/>
    </row>
    <row r="162" spans="1:8" s="1" customFormat="1"/>
    <row r="163" spans="1:8" s="1" customFormat="1"/>
    <row r="164" spans="1:8" s="1" customFormat="1">
      <c r="B164" s="4"/>
      <c r="C164" s="7"/>
      <c r="D164" s="6"/>
      <c r="E164" s="5"/>
      <c r="F164" s="5"/>
    </row>
    <row r="165" spans="1:8" s="1" customFormat="1">
      <c r="C165" s="8"/>
      <c r="D165" s="2"/>
    </row>
    <row r="166" spans="1:8" s="1" customFormat="1"/>
    <row r="167" spans="1:8" s="1" customFormat="1"/>
    <row r="168" spans="1:8" s="1" customFormat="1"/>
    <row r="169" spans="1:8" s="1" customFormat="1"/>
    <row r="170" spans="1:8" s="1" customFormat="1">
      <c r="A170" s="6"/>
      <c r="B170" s="6"/>
    </row>
    <row r="171" spans="1:8" s="1" customFormat="1">
      <c r="A171" s="5"/>
      <c r="B171" s="5"/>
      <c r="C171" s="5"/>
      <c r="D171" s="5"/>
      <c r="F171" s="5"/>
      <c r="H171" s="5"/>
    </row>
    <row r="172" spans="1:8" s="1" customFormat="1"/>
    <row r="173" spans="1:8" s="1" customFormat="1"/>
    <row r="174" spans="1:8" s="1" customFormat="1">
      <c r="E174" s="5"/>
    </row>
    <row r="175" spans="1:8" s="1" customFormat="1"/>
    <row r="176" spans="1:8" s="1" customFormat="1"/>
    <row r="177" spans="1:8" s="1" customFormat="1">
      <c r="D177" s="5"/>
      <c r="E177" s="5"/>
      <c r="F177" s="5"/>
      <c r="G177" s="5"/>
    </row>
    <row r="178" spans="1:8" s="1" customFormat="1"/>
    <row r="179" spans="1:8" s="1" customFormat="1"/>
    <row r="180" spans="1:8" s="1" customFormat="1">
      <c r="D180" s="5"/>
      <c r="E180" s="5"/>
      <c r="F180" s="5"/>
    </row>
    <row r="181" spans="1:8" s="1" customFormat="1"/>
    <row r="182" spans="1:8" s="1" customFormat="1"/>
    <row r="183" spans="1:8" s="1" customFormat="1">
      <c r="B183" s="4"/>
      <c r="C183" s="7"/>
      <c r="D183" s="6"/>
      <c r="E183" s="5"/>
      <c r="F183" s="5"/>
    </row>
    <row r="184" spans="1:8" s="1" customFormat="1">
      <c r="C184" s="8"/>
      <c r="D184" s="2"/>
    </row>
    <row r="185" spans="1:8" s="1" customFormat="1"/>
    <row r="186" spans="1:8" s="1" customFormat="1"/>
    <row r="187" spans="1:8" s="1" customFormat="1"/>
    <row r="188" spans="1:8" s="1" customFormat="1">
      <c r="A188" s="5"/>
      <c r="B188" s="5"/>
      <c r="C188" s="5"/>
      <c r="D188" s="5"/>
      <c r="F188" s="5"/>
    </row>
    <row r="189" spans="1:8" s="1" customFormat="1">
      <c r="A189" s="6"/>
      <c r="B189" s="6"/>
    </row>
    <row r="190" spans="1:8" s="1" customFormat="1">
      <c r="A190" s="5"/>
      <c r="B190" s="5"/>
      <c r="C190" s="5"/>
      <c r="D190" s="5"/>
      <c r="F190" s="5"/>
      <c r="H190" s="5"/>
    </row>
    <row r="191" spans="1:8" s="1" customFormat="1"/>
    <row r="192" spans="1:8" s="1" customFormat="1"/>
    <row r="193" spans="2:7" s="1" customFormat="1">
      <c r="E193" s="5"/>
    </row>
    <row r="194" spans="2:7" s="1" customFormat="1"/>
    <row r="195" spans="2:7" s="1" customFormat="1"/>
    <row r="196" spans="2:7" s="1" customFormat="1">
      <c r="D196" s="5"/>
      <c r="E196" s="5"/>
      <c r="F196" s="5"/>
      <c r="G196" s="5"/>
    </row>
    <row r="197" spans="2:7" s="1" customFormat="1"/>
    <row r="198" spans="2:7" s="1" customFormat="1"/>
    <row r="199" spans="2:7" s="1" customFormat="1">
      <c r="D199" s="5"/>
      <c r="E199" s="5"/>
      <c r="F199" s="5"/>
    </row>
    <row r="200" spans="2:7" s="1" customFormat="1"/>
    <row r="201" spans="2:7" s="1" customFormat="1"/>
    <row r="202" spans="2:7" s="1" customFormat="1">
      <c r="B202" s="4"/>
      <c r="C202" s="7"/>
      <c r="D202" s="6"/>
      <c r="E202" s="5"/>
      <c r="F202" s="5"/>
    </row>
    <row r="203" spans="2:7" s="1" customFormat="1">
      <c r="C203" s="8"/>
      <c r="D203" s="2"/>
    </row>
    <row r="204" spans="2:7" s="1" customFormat="1"/>
    <row r="205" spans="2:7" s="1" customFormat="1"/>
    <row r="206" spans="2:7" s="1" customFormat="1"/>
    <row r="207" spans="2:7" s="1" customFormat="1"/>
    <row r="208" spans="2:7" s="1" customFormat="1"/>
    <row r="209" spans="1:16" s="1" customFormat="1"/>
    <row r="210" spans="1:16" s="1" customFormat="1"/>
    <row r="211" spans="1:16" s="1" customFormat="1"/>
    <row r="212" spans="1:16" s="1" customFormat="1"/>
    <row r="215" spans="1:16" s="32" customFormat="1"/>
    <row r="216" spans="1:16" s="1" customFormat="1">
      <c r="M216" s="2"/>
    </row>
    <row r="217" spans="1:16" s="1" customFormat="1" ht="15.75">
      <c r="M217" s="3"/>
      <c r="N217" s="3"/>
    </row>
    <row r="218" spans="1:16" s="1" customFormat="1">
      <c r="A218" s="4"/>
      <c r="B218" s="4"/>
      <c r="C218" s="4"/>
      <c r="D218" s="4"/>
      <c r="E218" s="4"/>
      <c r="F218" s="4"/>
      <c r="G218" s="4"/>
      <c r="H218" s="4"/>
      <c r="I218" s="4"/>
      <c r="K218" s="4"/>
      <c r="L218" s="4"/>
      <c r="M218" s="4"/>
      <c r="N218" s="4"/>
      <c r="O218" s="4"/>
      <c r="P218" s="4"/>
    </row>
    <row r="219" spans="1:16" s="1" customFormat="1">
      <c r="C219" s="5"/>
      <c r="D219" s="5"/>
    </row>
    <row r="220" spans="1:16" s="1" customFormat="1">
      <c r="C220" s="5"/>
      <c r="D220" s="5"/>
    </row>
    <row r="221" spans="1:16" s="1" customFormat="1"/>
    <row r="222" spans="1:16" s="1" customFormat="1">
      <c r="A222" s="6"/>
      <c r="B222" s="6"/>
    </row>
    <row r="223" spans="1:16" s="1" customFormat="1">
      <c r="A223" s="5"/>
      <c r="B223" s="5"/>
      <c r="C223" s="5"/>
      <c r="D223" s="5"/>
      <c r="F223" s="5"/>
      <c r="H223" s="5"/>
    </row>
    <row r="224" spans="1:16" s="1" customFormat="1"/>
    <row r="225" spans="2:7" s="1" customFormat="1"/>
    <row r="226" spans="2:7" s="1" customFormat="1">
      <c r="E226" s="5"/>
    </row>
    <row r="227" spans="2:7" s="1" customFormat="1"/>
    <row r="228" spans="2:7" s="1" customFormat="1"/>
    <row r="229" spans="2:7" s="1" customFormat="1">
      <c r="D229" s="5"/>
      <c r="E229" s="5"/>
      <c r="F229" s="5"/>
      <c r="G229" s="5"/>
    </row>
    <row r="230" spans="2:7" s="1" customFormat="1"/>
    <row r="231" spans="2:7" s="1" customFormat="1"/>
    <row r="232" spans="2:7" s="1" customFormat="1">
      <c r="D232" s="5"/>
      <c r="E232" s="5"/>
      <c r="F232" s="5"/>
    </row>
    <row r="233" spans="2:7" s="1" customFormat="1"/>
    <row r="234" spans="2:7" s="1" customFormat="1"/>
    <row r="235" spans="2:7" s="1" customFormat="1">
      <c r="B235" s="4"/>
      <c r="C235" s="7"/>
      <c r="D235" s="6"/>
      <c r="E235" s="5"/>
      <c r="F235" s="5"/>
    </row>
    <row r="236" spans="2:7" s="1" customFormat="1">
      <c r="C236" s="8"/>
      <c r="D236" s="2"/>
    </row>
    <row r="237" spans="2:7" s="1" customFormat="1"/>
    <row r="238" spans="2:7" s="1" customFormat="1"/>
    <row r="239" spans="2:7" s="1" customFormat="1"/>
    <row r="240" spans="2:7" s="1" customFormat="1"/>
    <row r="241" spans="1:8" s="1" customFormat="1">
      <c r="A241" s="6"/>
      <c r="B241" s="6"/>
    </row>
    <row r="242" spans="1:8" s="1" customFormat="1">
      <c r="A242" s="5"/>
      <c r="B242" s="5"/>
      <c r="C242" s="5"/>
      <c r="D242" s="5"/>
      <c r="F242" s="5"/>
      <c r="H242" s="5"/>
    </row>
    <row r="243" spans="1:8" s="1" customFormat="1"/>
    <row r="244" spans="1:8" s="1" customFormat="1"/>
    <row r="245" spans="1:8" s="1" customFormat="1">
      <c r="E245" s="5"/>
    </row>
    <row r="246" spans="1:8" s="1" customFormat="1"/>
    <row r="247" spans="1:8" s="1" customFormat="1"/>
    <row r="248" spans="1:8" s="1" customFormat="1">
      <c r="D248" s="5"/>
      <c r="E248" s="5"/>
      <c r="F248" s="5"/>
      <c r="G248" s="5"/>
    </row>
    <row r="249" spans="1:8" s="1" customFormat="1"/>
    <row r="250" spans="1:8" s="1" customFormat="1"/>
    <row r="251" spans="1:8" s="1" customFormat="1">
      <c r="D251" s="5"/>
      <c r="E251" s="5"/>
      <c r="F251" s="5"/>
    </row>
    <row r="252" spans="1:8" s="1" customFormat="1"/>
    <row r="253" spans="1:8" s="1" customFormat="1"/>
    <row r="254" spans="1:8" s="1" customFormat="1">
      <c r="B254" s="4"/>
      <c r="C254" s="7"/>
      <c r="D254" s="6"/>
      <c r="E254" s="5"/>
      <c r="F254" s="5"/>
    </row>
    <row r="255" spans="1:8" s="1" customFormat="1">
      <c r="C255" s="8"/>
      <c r="D255" s="2"/>
    </row>
    <row r="256" spans="1:8" s="1" customFormat="1"/>
    <row r="257" spans="1:8" s="1" customFormat="1"/>
    <row r="258" spans="1:8" s="1" customFormat="1"/>
    <row r="259" spans="1:8" s="1" customFormat="1">
      <c r="A259" s="5"/>
      <c r="B259" s="5"/>
      <c r="C259" s="5"/>
      <c r="D259" s="5"/>
      <c r="F259" s="5"/>
    </row>
    <row r="260" spans="1:8" s="1" customFormat="1">
      <c r="A260" s="6"/>
      <c r="B260" s="6"/>
    </row>
    <row r="261" spans="1:8" s="1" customFormat="1">
      <c r="A261" s="5"/>
      <c r="B261" s="5"/>
      <c r="C261" s="5"/>
      <c r="D261" s="5"/>
      <c r="F261" s="5"/>
      <c r="H261" s="5"/>
    </row>
    <row r="262" spans="1:8" s="1" customFormat="1"/>
    <row r="263" spans="1:8" s="1" customFormat="1"/>
    <row r="264" spans="1:8" s="1" customFormat="1">
      <c r="E264" s="5"/>
    </row>
    <row r="265" spans="1:8" s="1" customFormat="1"/>
    <row r="266" spans="1:8" s="1" customFormat="1"/>
    <row r="267" spans="1:8" s="1" customFormat="1">
      <c r="D267" s="5"/>
      <c r="E267" s="5"/>
      <c r="F267" s="5"/>
      <c r="G267" s="5"/>
    </row>
    <row r="268" spans="1:8" s="1" customFormat="1"/>
    <row r="269" spans="1:8" s="1" customFormat="1"/>
    <row r="270" spans="1:8" s="1" customFormat="1">
      <c r="D270" s="5"/>
      <c r="E270" s="5"/>
      <c r="F270" s="5"/>
    </row>
    <row r="271" spans="1:8" s="1" customFormat="1"/>
    <row r="272" spans="1:8" s="1" customFormat="1"/>
    <row r="273" spans="2:14" s="1" customFormat="1">
      <c r="B273" s="4"/>
      <c r="C273" s="7"/>
      <c r="D273" s="6"/>
      <c r="E273" s="5"/>
      <c r="F273" s="5"/>
    </row>
    <row r="274" spans="2:14" s="1" customFormat="1">
      <c r="C274" s="8"/>
      <c r="D274" s="2"/>
    </row>
    <row r="275" spans="2:14" s="1" customFormat="1"/>
    <row r="276" spans="2:14" s="1" customFormat="1"/>
    <row r="277" spans="2:14" s="1" customFormat="1"/>
    <row r="278" spans="2:14" s="1" customFormat="1"/>
    <row r="279" spans="2:14" s="1" customFormat="1"/>
    <row r="280" spans="2:14" s="1" customFormat="1"/>
    <row r="281" spans="2:14" s="1" customFormat="1"/>
    <row r="282" spans="2:14" s="1" customFormat="1"/>
    <row r="283" spans="2:14" s="1" customFormat="1"/>
    <row r="286" spans="2:14" s="32" customFormat="1"/>
    <row r="287" spans="2:14" s="1" customFormat="1">
      <c r="M287" s="2"/>
    </row>
    <row r="288" spans="2:14" s="1" customFormat="1" ht="15.75">
      <c r="M288" s="3"/>
      <c r="N288" s="3"/>
    </row>
    <row r="289" spans="1:16" s="1" customFormat="1">
      <c r="A289" s="4"/>
      <c r="B289" s="4"/>
      <c r="C289" s="4"/>
      <c r="D289" s="4"/>
      <c r="E289" s="4"/>
      <c r="F289" s="4"/>
      <c r="G289" s="4"/>
      <c r="H289" s="4"/>
      <c r="I289" s="4"/>
      <c r="K289" s="4"/>
      <c r="L289" s="4"/>
      <c r="M289" s="4"/>
      <c r="N289" s="4"/>
      <c r="O289" s="4"/>
      <c r="P289" s="4"/>
    </row>
    <row r="290" spans="1:16" s="1" customFormat="1">
      <c r="C290" s="5"/>
      <c r="D290" s="5"/>
    </row>
    <row r="291" spans="1:16" s="1" customFormat="1">
      <c r="C291" s="5"/>
      <c r="D291" s="5"/>
    </row>
    <row r="292" spans="1:16" s="1" customFormat="1"/>
    <row r="293" spans="1:16" s="1" customFormat="1">
      <c r="A293" s="6"/>
      <c r="B293" s="6"/>
    </row>
    <row r="294" spans="1:16" s="1" customFormat="1">
      <c r="A294" s="5"/>
      <c r="B294" s="5"/>
      <c r="C294" s="5"/>
      <c r="D294" s="5"/>
      <c r="F294" s="5"/>
      <c r="H294" s="5"/>
    </row>
    <row r="295" spans="1:16" s="1" customFormat="1"/>
    <row r="296" spans="1:16" s="1" customFormat="1"/>
    <row r="297" spans="1:16" s="1" customFormat="1">
      <c r="E297" s="5"/>
    </row>
    <row r="298" spans="1:16" s="1" customFormat="1"/>
    <row r="299" spans="1:16" s="1" customFormat="1"/>
    <row r="300" spans="1:16" s="1" customFormat="1">
      <c r="D300" s="5"/>
      <c r="E300" s="5"/>
      <c r="F300" s="5"/>
      <c r="G300" s="5"/>
    </row>
    <row r="301" spans="1:16" s="1" customFormat="1"/>
    <row r="302" spans="1:16" s="1" customFormat="1"/>
    <row r="303" spans="1:16" s="1" customFormat="1">
      <c r="D303" s="5"/>
      <c r="E303" s="5"/>
      <c r="F303" s="5"/>
    </row>
    <row r="304" spans="1:16" s="1" customFormat="1"/>
    <row r="305" spans="1:8" s="1" customFormat="1"/>
    <row r="306" spans="1:8" s="1" customFormat="1">
      <c r="B306" s="4"/>
      <c r="C306" s="7"/>
      <c r="D306" s="6"/>
      <c r="E306" s="5"/>
      <c r="F306" s="5"/>
    </row>
    <row r="307" spans="1:8" s="1" customFormat="1">
      <c r="C307" s="8"/>
      <c r="D307" s="2"/>
    </row>
    <row r="308" spans="1:8" s="1" customFormat="1"/>
    <row r="309" spans="1:8" s="1" customFormat="1"/>
    <row r="310" spans="1:8" s="1" customFormat="1"/>
    <row r="311" spans="1:8" s="1" customFormat="1"/>
    <row r="312" spans="1:8" s="1" customFormat="1">
      <c r="A312" s="6"/>
      <c r="B312" s="6"/>
    </row>
    <row r="313" spans="1:8" s="1" customFormat="1">
      <c r="A313" s="5"/>
      <c r="B313" s="5"/>
      <c r="C313" s="5"/>
      <c r="D313" s="5"/>
      <c r="F313" s="5"/>
      <c r="H313" s="5"/>
    </row>
    <row r="314" spans="1:8" s="1" customFormat="1"/>
    <row r="315" spans="1:8" s="1" customFormat="1"/>
    <row r="316" spans="1:8" s="1" customFormat="1">
      <c r="E316" s="5"/>
    </row>
    <row r="317" spans="1:8" s="1" customFormat="1"/>
    <row r="318" spans="1:8" s="1" customFormat="1"/>
    <row r="319" spans="1:8" s="1" customFormat="1">
      <c r="D319" s="5"/>
      <c r="E319" s="5"/>
      <c r="F319" s="5"/>
      <c r="G319" s="5"/>
    </row>
    <row r="320" spans="1:8" s="1" customFormat="1"/>
    <row r="321" spans="1:8" s="1" customFormat="1"/>
    <row r="322" spans="1:8" s="1" customFormat="1">
      <c r="D322" s="5"/>
      <c r="E322" s="5"/>
      <c r="F322" s="5"/>
    </row>
    <row r="323" spans="1:8" s="1" customFormat="1"/>
    <row r="324" spans="1:8" s="1" customFormat="1"/>
    <row r="325" spans="1:8" s="1" customFormat="1">
      <c r="B325" s="4"/>
      <c r="C325" s="7"/>
      <c r="D325" s="6"/>
      <c r="E325" s="5"/>
      <c r="F325" s="5"/>
    </row>
    <row r="326" spans="1:8" s="1" customFormat="1">
      <c r="C326" s="8"/>
      <c r="D326" s="2"/>
    </row>
    <row r="327" spans="1:8" s="1" customFormat="1"/>
    <row r="328" spans="1:8" s="1" customFormat="1"/>
    <row r="329" spans="1:8" s="1" customFormat="1"/>
    <row r="330" spans="1:8" s="1" customFormat="1">
      <c r="A330" s="5"/>
      <c r="B330" s="5"/>
      <c r="C330" s="5"/>
      <c r="D330" s="5"/>
      <c r="F330" s="5"/>
    </row>
    <row r="331" spans="1:8" s="1" customFormat="1">
      <c r="A331" s="6"/>
      <c r="B331" s="6"/>
    </row>
    <row r="332" spans="1:8" s="1" customFormat="1">
      <c r="A332" s="5"/>
      <c r="B332" s="5"/>
      <c r="C332" s="5"/>
      <c r="D332" s="5"/>
      <c r="F332" s="5"/>
      <c r="H332" s="5"/>
    </row>
    <row r="333" spans="1:8" s="1" customFormat="1"/>
    <row r="334" spans="1:8" s="1" customFormat="1"/>
    <row r="335" spans="1:8" s="1" customFormat="1">
      <c r="E335" s="5"/>
    </row>
    <row r="336" spans="1:8" s="1" customFormat="1"/>
    <row r="337" spans="2:7" s="1" customFormat="1"/>
    <row r="338" spans="2:7" s="1" customFormat="1">
      <c r="D338" s="5"/>
      <c r="E338" s="5"/>
      <c r="F338" s="5"/>
      <c r="G338" s="5"/>
    </row>
    <row r="339" spans="2:7" s="1" customFormat="1"/>
    <row r="340" spans="2:7" s="1" customFormat="1"/>
    <row r="341" spans="2:7" s="1" customFormat="1">
      <c r="D341" s="5"/>
      <c r="E341" s="5"/>
      <c r="F341" s="5"/>
    </row>
    <row r="342" spans="2:7" s="1" customFormat="1"/>
    <row r="343" spans="2:7" s="1" customFormat="1"/>
    <row r="344" spans="2:7" s="1" customFormat="1">
      <c r="B344" s="4"/>
      <c r="C344" s="7"/>
      <c r="D344" s="6"/>
      <c r="E344" s="5"/>
      <c r="F344" s="5"/>
    </row>
    <row r="345" spans="2:7" s="1" customFormat="1">
      <c r="C345" s="8"/>
      <c r="D345" s="2"/>
    </row>
    <row r="346" spans="2:7" s="1" customFormat="1"/>
    <row r="347" spans="2:7" s="1" customFormat="1"/>
    <row r="348" spans="2:7" s="1" customFormat="1"/>
    <row r="349" spans="2:7" s="1" customFormat="1"/>
    <row r="350" spans="2:7" s="1" customFormat="1"/>
    <row r="351" spans="2:7" s="1" customFormat="1"/>
    <row r="352" spans="2:7" s="1" customFormat="1"/>
    <row r="353" spans="1:16" s="1" customFormat="1"/>
    <row r="354" spans="1:16" s="1" customFormat="1"/>
    <row r="357" spans="1:16" s="32" customFormat="1"/>
    <row r="358" spans="1:16" s="1" customFormat="1">
      <c r="M358" s="2"/>
    </row>
    <row r="359" spans="1:16" s="1" customFormat="1" ht="15.75">
      <c r="M359" s="3"/>
      <c r="N359" s="3"/>
    </row>
    <row r="360" spans="1:16" s="1" customFormat="1">
      <c r="A360" s="4"/>
      <c r="B360" s="4"/>
      <c r="C360" s="4"/>
      <c r="D360" s="4"/>
      <c r="E360" s="4"/>
      <c r="F360" s="4"/>
      <c r="G360" s="4"/>
      <c r="H360" s="4"/>
      <c r="I360" s="4"/>
      <c r="K360" s="4"/>
      <c r="L360" s="4"/>
      <c r="M360" s="4"/>
      <c r="N360" s="4"/>
      <c r="O360" s="4"/>
      <c r="P360" s="4"/>
    </row>
    <row r="361" spans="1:16" s="1" customFormat="1">
      <c r="C361" s="5"/>
      <c r="D361" s="5"/>
    </row>
    <row r="362" spans="1:16" s="1" customFormat="1">
      <c r="C362" s="5"/>
      <c r="D362" s="5"/>
    </row>
    <row r="363" spans="1:16" s="1" customFormat="1"/>
    <row r="364" spans="1:16" s="1" customFormat="1">
      <c r="A364" s="6"/>
      <c r="B364" s="6"/>
    </row>
    <row r="365" spans="1:16" s="1" customFormat="1">
      <c r="A365" s="5"/>
      <c r="B365" s="5"/>
      <c r="C365" s="5"/>
      <c r="D365" s="5"/>
      <c r="F365" s="5"/>
      <c r="H365" s="5"/>
    </row>
    <row r="366" spans="1:16" s="1" customFormat="1"/>
    <row r="367" spans="1:16" s="1" customFormat="1"/>
    <row r="368" spans="1:16" s="1" customFormat="1">
      <c r="E368" s="5"/>
    </row>
    <row r="369" spans="1:8" s="1" customFormat="1"/>
    <row r="370" spans="1:8" s="1" customFormat="1"/>
    <row r="371" spans="1:8" s="1" customFormat="1">
      <c r="D371" s="5"/>
      <c r="E371" s="5"/>
      <c r="F371" s="5"/>
      <c r="G371" s="5"/>
    </row>
    <row r="372" spans="1:8" s="1" customFormat="1"/>
    <row r="373" spans="1:8" s="1" customFormat="1"/>
    <row r="374" spans="1:8" s="1" customFormat="1">
      <c r="D374" s="5"/>
      <c r="E374" s="5"/>
      <c r="F374" s="5"/>
    </row>
    <row r="375" spans="1:8" s="1" customFormat="1"/>
    <row r="376" spans="1:8" s="1" customFormat="1"/>
    <row r="377" spans="1:8" s="1" customFormat="1">
      <c r="B377" s="4"/>
      <c r="C377" s="7"/>
      <c r="D377" s="6"/>
      <c r="E377" s="5"/>
      <c r="F377" s="5"/>
    </row>
    <row r="378" spans="1:8" s="1" customFormat="1">
      <c r="C378" s="8"/>
      <c r="D378" s="2"/>
    </row>
    <row r="379" spans="1:8" s="1" customFormat="1"/>
    <row r="380" spans="1:8" s="1" customFormat="1"/>
    <row r="381" spans="1:8" s="1" customFormat="1"/>
    <row r="382" spans="1:8" s="1" customFormat="1"/>
    <row r="383" spans="1:8" s="1" customFormat="1">
      <c r="A383" s="6"/>
      <c r="B383" s="6"/>
    </row>
    <row r="384" spans="1:8" s="1" customFormat="1">
      <c r="A384" s="5"/>
      <c r="B384" s="5"/>
      <c r="C384" s="5"/>
      <c r="D384" s="5"/>
      <c r="F384" s="5"/>
      <c r="H384" s="5"/>
    </row>
    <row r="385" spans="2:7" s="1" customFormat="1"/>
    <row r="386" spans="2:7" s="1" customFormat="1"/>
    <row r="387" spans="2:7" s="1" customFormat="1">
      <c r="E387" s="5"/>
    </row>
    <row r="388" spans="2:7" s="1" customFormat="1"/>
    <row r="389" spans="2:7" s="1" customFormat="1"/>
    <row r="390" spans="2:7" s="1" customFormat="1">
      <c r="D390" s="5"/>
      <c r="E390" s="5"/>
      <c r="F390" s="5"/>
      <c r="G390" s="5"/>
    </row>
    <row r="391" spans="2:7" s="1" customFormat="1"/>
    <row r="392" spans="2:7" s="1" customFormat="1"/>
    <row r="393" spans="2:7" s="1" customFormat="1">
      <c r="D393" s="5"/>
      <c r="E393" s="5"/>
      <c r="F393" s="5"/>
    </row>
    <row r="394" spans="2:7" s="1" customFormat="1"/>
    <row r="395" spans="2:7" s="1" customFormat="1"/>
    <row r="396" spans="2:7" s="1" customFormat="1">
      <c r="B396" s="4"/>
      <c r="C396" s="7"/>
      <c r="D396" s="6"/>
      <c r="E396" s="5"/>
      <c r="F396" s="5"/>
    </row>
    <row r="397" spans="2:7" s="1" customFormat="1">
      <c r="C397" s="8"/>
      <c r="D397" s="2"/>
    </row>
    <row r="398" spans="2:7" s="1" customFormat="1"/>
    <row r="399" spans="2:7" s="1" customFormat="1"/>
    <row r="400" spans="2:7" s="1" customFormat="1"/>
    <row r="401" spans="1:8" s="1" customFormat="1">
      <c r="A401" s="5"/>
      <c r="B401" s="5"/>
      <c r="C401" s="5"/>
      <c r="D401" s="5"/>
      <c r="F401" s="5"/>
    </row>
    <row r="402" spans="1:8" s="1" customFormat="1">
      <c r="A402" s="6"/>
      <c r="B402" s="6"/>
    </row>
    <row r="403" spans="1:8" s="1" customFormat="1">
      <c r="A403" s="5"/>
      <c r="B403" s="5"/>
      <c r="C403" s="5"/>
      <c r="D403" s="5"/>
      <c r="F403" s="5"/>
      <c r="H403" s="5"/>
    </row>
    <row r="404" spans="1:8" s="1" customFormat="1"/>
    <row r="405" spans="1:8" s="1" customFormat="1"/>
    <row r="406" spans="1:8" s="1" customFormat="1">
      <c r="E406" s="5"/>
    </row>
    <row r="407" spans="1:8" s="1" customFormat="1"/>
    <row r="408" spans="1:8" s="1" customFormat="1"/>
    <row r="409" spans="1:8" s="1" customFormat="1">
      <c r="D409" s="5"/>
      <c r="E409" s="5"/>
      <c r="F409" s="5"/>
      <c r="G409" s="5"/>
    </row>
    <row r="410" spans="1:8" s="1" customFormat="1"/>
    <row r="411" spans="1:8" s="1" customFormat="1"/>
    <row r="412" spans="1:8" s="1" customFormat="1">
      <c r="D412" s="5"/>
      <c r="E412" s="5"/>
      <c r="F412" s="5"/>
    </row>
    <row r="413" spans="1:8" s="1" customFormat="1"/>
    <row r="414" spans="1:8" s="1" customFormat="1"/>
    <row r="415" spans="1:8" s="1" customFormat="1">
      <c r="B415" s="4"/>
      <c r="C415" s="7"/>
      <c r="D415" s="6"/>
      <c r="E415" s="5"/>
      <c r="F415" s="5"/>
    </row>
    <row r="416" spans="1:8" s="1" customFormat="1">
      <c r="C416" s="8"/>
      <c r="D416" s="2"/>
    </row>
    <row r="417" spans="1:19" s="1" customFormat="1"/>
    <row r="418" spans="1:19" s="1" customFormat="1"/>
    <row r="419" spans="1:19" s="1" customFormat="1"/>
    <row r="420" spans="1:19" s="1" customFormat="1"/>
    <row r="421" spans="1:19" s="1" customFormat="1"/>
    <row r="422" spans="1:19" s="1" customFormat="1"/>
    <row r="423" spans="1:19" s="1" customFormat="1"/>
    <row r="424" spans="1:19" s="1" customFormat="1"/>
    <row r="425" spans="1:19" s="1" customFormat="1"/>
    <row r="428" spans="1:19" s="32" customFormat="1"/>
    <row r="429" spans="1:19" s="1" customFormat="1">
      <c r="M429" s="2"/>
    </row>
    <row r="430" spans="1:19" s="1" customFormat="1" ht="15.75">
      <c r="M430" s="3"/>
      <c r="N430" s="3"/>
      <c r="S430" s="33"/>
    </row>
    <row r="431" spans="1:19" s="1" customFormat="1">
      <c r="A431" s="4"/>
      <c r="B431" s="4"/>
      <c r="C431" s="4"/>
      <c r="D431" s="4"/>
      <c r="E431" s="4"/>
      <c r="F431" s="4"/>
      <c r="G431" s="4"/>
      <c r="H431" s="4"/>
      <c r="I431" s="4"/>
      <c r="K431" s="4"/>
      <c r="L431" s="4"/>
      <c r="M431" s="4"/>
      <c r="N431" s="4"/>
      <c r="O431" s="4"/>
      <c r="P431" s="4"/>
    </row>
    <row r="432" spans="1:19" s="1" customFormat="1">
      <c r="C432" s="5"/>
      <c r="D432" s="5"/>
    </row>
    <row r="433" spans="1:8" s="1" customFormat="1">
      <c r="C433" s="5"/>
      <c r="D433" s="5"/>
    </row>
    <row r="434" spans="1:8" s="1" customFormat="1"/>
    <row r="435" spans="1:8" s="1" customFormat="1">
      <c r="A435" s="6"/>
      <c r="B435" s="6"/>
    </row>
    <row r="436" spans="1:8" s="1" customFormat="1">
      <c r="A436" s="5"/>
      <c r="B436" s="5"/>
      <c r="C436" s="5"/>
      <c r="D436" s="5"/>
      <c r="F436" s="5"/>
      <c r="H436" s="5"/>
    </row>
    <row r="437" spans="1:8" s="1" customFormat="1"/>
    <row r="438" spans="1:8" s="1" customFormat="1"/>
    <row r="439" spans="1:8" s="1" customFormat="1">
      <c r="E439" s="5"/>
    </row>
    <row r="440" spans="1:8" s="1" customFormat="1"/>
    <row r="441" spans="1:8" s="1" customFormat="1"/>
    <row r="442" spans="1:8" s="1" customFormat="1">
      <c r="D442" s="5"/>
      <c r="E442" s="5"/>
      <c r="F442" s="5"/>
      <c r="G442" s="5"/>
    </row>
    <row r="443" spans="1:8" s="1" customFormat="1"/>
    <row r="444" spans="1:8" s="1" customFormat="1"/>
    <row r="445" spans="1:8" s="1" customFormat="1">
      <c r="D445" s="5"/>
      <c r="E445" s="5"/>
      <c r="F445" s="5"/>
    </row>
    <row r="446" spans="1:8" s="1" customFormat="1"/>
    <row r="447" spans="1:8" s="1" customFormat="1"/>
    <row r="448" spans="1:8" s="1" customFormat="1">
      <c r="B448" s="4"/>
      <c r="C448" s="7"/>
      <c r="D448" s="6"/>
      <c r="E448" s="5"/>
      <c r="F448" s="5"/>
    </row>
    <row r="449" spans="1:8" s="1" customFormat="1">
      <c r="C449" s="8"/>
      <c r="D449" s="2"/>
    </row>
    <row r="450" spans="1:8" s="1" customFormat="1"/>
    <row r="451" spans="1:8" s="1" customFormat="1"/>
    <row r="452" spans="1:8" s="1" customFormat="1"/>
    <row r="453" spans="1:8" s="1" customFormat="1"/>
    <row r="454" spans="1:8" s="1" customFormat="1">
      <c r="A454" s="6"/>
      <c r="B454" s="6"/>
    </row>
    <row r="455" spans="1:8" s="1" customFormat="1">
      <c r="A455" s="5"/>
      <c r="B455" s="5"/>
      <c r="C455" s="5"/>
      <c r="D455" s="5"/>
      <c r="F455" s="5"/>
      <c r="H455" s="5"/>
    </row>
    <row r="456" spans="1:8" s="1" customFormat="1"/>
    <row r="457" spans="1:8" s="1" customFormat="1"/>
    <row r="458" spans="1:8" s="1" customFormat="1">
      <c r="E458" s="5"/>
    </row>
    <row r="459" spans="1:8" s="1" customFormat="1"/>
    <row r="460" spans="1:8" s="1" customFormat="1"/>
    <row r="461" spans="1:8" s="1" customFormat="1">
      <c r="D461" s="5"/>
      <c r="E461" s="5"/>
      <c r="F461" s="5"/>
      <c r="G461" s="5"/>
    </row>
    <row r="462" spans="1:8" s="1" customFormat="1"/>
    <row r="463" spans="1:8" s="1" customFormat="1"/>
    <row r="464" spans="1:8" s="1" customFormat="1">
      <c r="D464" s="5"/>
      <c r="E464" s="5"/>
      <c r="F464" s="5"/>
    </row>
    <row r="465" spans="1:8" s="1" customFormat="1"/>
    <row r="466" spans="1:8" s="1" customFormat="1"/>
    <row r="467" spans="1:8" s="1" customFormat="1">
      <c r="B467" s="4"/>
      <c r="C467" s="7"/>
      <c r="D467" s="6"/>
      <c r="E467" s="5"/>
      <c r="F467" s="5"/>
    </row>
    <row r="468" spans="1:8" s="1" customFormat="1">
      <c r="C468" s="8"/>
      <c r="D468" s="2"/>
    </row>
    <row r="469" spans="1:8" s="1" customFormat="1"/>
    <row r="470" spans="1:8" s="1" customFormat="1"/>
    <row r="471" spans="1:8" s="1" customFormat="1"/>
    <row r="472" spans="1:8" s="1" customFormat="1">
      <c r="A472" s="5"/>
      <c r="B472" s="5"/>
      <c r="C472" s="5"/>
      <c r="D472" s="5"/>
      <c r="F472" s="5"/>
    </row>
    <row r="473" spans="1:8" s="1" customFormat="1">
      <c r="A473" s="6"/>
      <c r="B473" s="6"/>
    </row>
    <row r="474" spans="1:8" s="1" customFormat="1">
      <c r="A474" s="5"/>
      <c r="B474" s="5"/>
      <c r="C474" s="5"/>
      <c r="D474" s="5"/>
      <c r="F474" s="5"/>
      <c r="H474" s="5"/>
    </row>
    <row r="475" spans="1:8" s="1" customFormat="1"/>
    <row r="476" spans="1:8" s="1" customFormat="1"/>
    <row r="477" spans="1:8" s="1" customFormat="1">
      <c r="E477" s="5"/>
    </row>
    <row r="478" spans="1:8" s="1" customFormat="1"/>
    <row r="479" spans="1:8" s="1" customFormat="1"/>
    <row r="480" spans="1:8" s="1" customFormat="1">
      <c r="D480" s="5"/>
      <c r="E480" s="5"/>
      <c r="F480" s="5"/>
      <c r="G480" s="5"/>
    </row>
    <row r="481" spans="2:6" s="1" customFormat="1"/>
    <row r="482" spans="2:6" s="1" customFormat="1"/>
    <row r="483" spans="2:6" s="1" customFormat="1">
      <c r="D483" s="5"/>
      <c r="E483" s="5"/>
      <c r="F483" s="5"/>
    </row>
    <row r="484" spans="2:6" s="1" customFormat="1"/>
    <row r="485" spans="2:6" s="1" customFormat="1"/>
    <row r="486" spans="2:6" s="1" customFormat="1">
      <c r="B486" s="4"/>
      <c r="C486" s="7"/>
      <c r="D486" s="6"/>
      <c r="E486" s="5"/>
      <c r="F486" s="5"/>
    </row>
    <row r="487" spans="2:6" s="1" customFormat="1">
      <c r="C487" s="8"/>
      <c r="D487" s="2"/>
    </row>
    <row r="488" spans="2:6" s="1" customFormat="1"/>
    <row r="489" spans="2:6" s="1" customFormat="1"/>
    <row r="490" spans="2:6" s="1" customFormat="1"/>
    <row r="491" spans="2:6" s="1" customFormat="1"/>
    <row r="492" spans="2:6" s="1" customFormat="1"/>
    <row r="493" spans="2:6" s="1" customFormat="1"/>
    <row r="494" spans="2:6" s="1" customFormat="1"/>
    <row r="495" spans="2:6" s="1" customFormat="1"/>
    <row r="496" spans="2:6" s="1" customFormat="1"/>
    <row r="499" spans="1:16" s="32" customFormat="1"/>
    <row r="500" spans="1:16" s="1" customFormat="1">
      <c r="M500" s="2"/>
    </row>
    <row r="501" spans="1:16" s="1" customFormat="1" ht="15.75">
      <c r="M501" s="3"/>
      <c r="N501" s="3"/>
    </row>
    <row r="502" spans="1:16" s="1" customFormat="1">
      <c r="A502" s="4"/>
      <c r="B502" s="4"/>
      <c r="C502" s="4"/>
      <c r="D502" s="4"/>
      <c r="E502" s="4"/>
      <c r="F502" s="4"/>
      <c r="G502" s="4"/>
      <c r="H502" s="4"/>
      <c r="I502" s="4"/>
      <c r="K502" s="4"/>
      <c r="L502" s="4"/>
      <c r="M502" s="4"/>
      <c r="N502" s="4"/>
      <c r="O502" s="4"/>
      <c r="P502" s="4"/>
    </row>
    <row r="503" spans="1:16" s="1" customFormat="1">
      <c r="C503" s="5"/>
      <c r="D503" s="5"/>
    </row>
    <row r="504" spans="1:16" s="1" customFormat="1">
      <c r="C504" s="5"/>
      <c r="D504" s="5"/>
    </row>
    <row r="505" spans="1:16" s="1" customFormat="1"/>
    <row r="506" spans="1:16" s="1" customFormat="1">
      <c r="A506" s="6"/>
      <c r="B506" s="6"/>
    </row>
    <row r="507" spans="1:16" s="1" customFormat="1">
      <c r="A507" s="5"/>
      <c r="B507" s="5"/>
      <c r="C507" s="5"/>
      <c r="D507" s="5"/>
      <c r="F507" s="5"/>
      <c r="H507" s="5"/>
    </row>
    <row r="508" spans="1:16" s="1" customFormat="1"/>
    <row r="509" spans="1:16" s="1" customFormat="1"/>
    <row r="510" spans="1:16" s="1" customFormat="1">
      <c r="E510" s="5"/>
    </row>
    <row r="511" spans="1:16" s="1" customFormat="1"/>
    <row r="512" spans="1:16" s="1" customFormat="1"/>
    <row r="513" spans="1:8" s="1" customFormat="1">
      <c r="D513" s="5"/>
      <c r="E513" s="5"/>
      <c r="F513" s="5"/>
      <c r="G513" s="5"/>
    </row>
    <row r="514" spans="1:8" s="1" customFormat="1"/>
    <row r="515" spans="1:8" s="1" customFormat="1"/>
    <row r="516" spans="1:8" s="1" customFormat="1">
      <c r="D516" s="5"/>
      <c r="E516" s="5"/>
      <c r="F516" s="5"/>
    </row>
    <row r="517" spans="1:8" s="1" customFormat="1"/>
    <row r="518" spans="1:8" s="1" customFormat="1"/>
    <row r="519" spans="1:8" s="1" customFormat="1">
      <c r="B519" s="4"/>
      <c r="C519" s="7"/>
      <c r="D519" s="6"/>
      <c r="E519" s="5"/>
      <c r="F519" s="5"/>
    </row>
    <row r="520" spans="1:8" s="1" customFormat="1">
      <c r="C520" s="8"/>
      <c r="D520" s="2"/>
    </row>
    <row r="521" spans="1:8" s="1" customFormat="1"/>
    <row r="522" spans="1:8" s="1" customFormat="1"/>
    <row r="523" spans="1:8" s="1" customFormat="1"/>
    <row r="524" spans="1:8" s="1" customFormat="1"/>
    <row r="525" spans="1:8" s="1" customFormat="1">
      <c r="A525" s="6"/>
      <c r="B525" s="6"/>
    </row>
    <row r="526" spans="1:8" s="1" customFormat="1">
      <c r="A526" s="5"/>
      <c r="B526" s="5"/>
      <c r="C526" s="5"/>
      <c r="D526" s="5"/>
      <c r="F526" s="5"/>
      <c r="H526" s="5"/>
    </row>
    <row r="527" spans="1:8" s="1" customFormat="1"/>
    <row r="528" spans="1:8" s="1" customFormat="1"/>
    <row r="529" spans="1:7" s="1" customFormat="1">
      <c r="E529" s="5"/>
    </row>
    <row r="530" spans="1:7" s="1" customFormat="1"/>
    <row r="531" spans="1:7" s="1" customFormat="1"/>
    <row r="532" spans="1:7" s="1" customFormat="1">
      <c r="D532" s="5"/>
      <c r="E532" s="5"/>
      <c r="F532" s="5"/>
      <c r="G532" s="5"/>
    </row>
    <row r="533" spans="1:7" s="1" customFormat="1"/>
    <row r="534" spans="1:7" s="1" customFormat="1"/>
    <row r="535" spans="1:7" s="1" customFormat="1">
      <c r="D535" s="5"/>
      <c r="E535" s="5"/>
      <c r="F535" s="5"/>
    </row>
    <row r="536" spans="1:7" s="1" customFormat="1"/>
    <row r="537" spans="1:7" s="1" customFormat="1"/>
    <row r="538" spans="1:7" s="1" customFormat="1">
      <c r="B538" s="4"/>
      <c r="C538" s="7"/>
      <c r="D538" s="6"/>
      <c r="E538" s="5"/>
      <c r="F538" s="5"/>
    </row>
    <row r="539" spans="1:7" s="1" customFormat="1">
      <c r="C539" s="8"/>
      <c r="D539" s="2"/>
    </row>
    <row r="540" spans="1:7" s="1" customFormat="1"/>
    <row r="541" spans="1:7" s="1" customFormat="1"/>
    <row r="542" spans="1:7" s="1" customFormat="1"/>
    <row r="543" spans="1:7" s="1" customFormat="1">
      <c r="A543" s="5"/>
      <c r="B543" s="5"/>
      <c r="C543" s="5"/>
      <c r="D543" s="5"/>
      <c r="F543" s="5"/>
    </row>
    <row r="544" spans="1:7" s="1" customFormat="1">
      <c r="A544" s="6"/>
      <c r="B544" s="6"/>
    </row>
    <row r="545" spans="1:8" s="1" customFormat="1">
      <c r="A545" s="5"/>
      <c r="B545" s="5"/>
      <c r="C545" s="5"/>
      <c r="D545" s="5"/>
      <c r="F545" s="5"/>
      <c r="H545" s="5"/>
    </row>
    <row r="546" spans="1:8" s="1" customFormat="1"/>
    <row r="547" spans="1:8" s="1" customFormat="1"/>
    <row r="548" spans="1:8" s="1" customFormat="1">
      <c r="E548" s="5"/>
    </row>
    <row r="549" spans="1:8" s="1" customFormat="1"/>
    <row r="550" spans="1:8" s="1" customFormat="1"/>
    <row r="551" spans="1:8" s="1" customFormat="1">
      <c r="D551" s="5"/>
      <c r="E551" s="5"/>
      <c r="F551" s="5"/>
      <c r="G551" s="5"/>
    </row>
    <row r="552" spans="1:8" s="1" customFormat="1"/>
    <row r="553" spans="1:8" s="1" customFormat="1"/>
    <row r="554" spans="1:8" s="1" customFormat="1">
      <c r="D554" s="5"/>
      <c r="E554" s="5"/>
      <c r="F554" s="5"/>
    </row>
    <row r="555" spans="1:8" s="1" customFormat="1"/>
    <row r="556" spans="1:8" s="1" customFormat="1"/>
    <row r="557" spans="1:8" s="1" customFormat="1">
      <c r="B557" s="4"/>
      <c r="C557" s="7"/>
      <c r="D557" s="6"/>
      <c r="E557" s="5"/>
      <c r="F557" s="5"/>
    </row>
    <row r="558" spans="1:8" s="1" customFormat="1">
      <c r="C558" s="8"/>
      <c r="D558" s="2"/>
    </row>
    <row r="559" spans="1:8" s="1" customFormat="1"/>
    <row r="560" spans="1:8" s="1" customFormat="1"/>
    <row r="561" spans="1:16" s="1" customFormat="1"/>
    <row r="562" spans="1:16" s="1" customFormat="1"/>
    <row r="563" spans="1:16" s="1" customFormat="1"/>
    <row r="564" spans="1:16" s="1" customFormat="1"/>
    <row r="565" spans="1:16" s="1" customFormat="1"/>
    <row r="566" spans="1:16" s="1" customFormat="1"/>
    <row r="567" spans="1:16" s="1" customFormat="1"/>
    <row r="570" spans="1:16" s="32" customFormat="1"/>
    <row r="571" spans="1:16" s="1" customFormat="1">
      <c r="M571" s="2"/>
    </row>
    <row r="572" spans="1:16" s="1" customFormat="1" ht="15.75">
      <c r="M572" s="3"/>
      <c r="N572" s="3"/>
    </row>
    <row r="573" spans="1:16" s="1" customFormat="1">
      <c r="A573" s="4"/>
      <c r="B573" s="4"/>
      <c r="C573" s="4"/>
      <c r="D573" s="4"/>
      <c r="E573" s="4"/>
      <c r="F573" s="4"/>
      <c r="G573" s="4"/>
      <c r="H573" s="4"/>
      <c r="I573" s="4"/>
      <c r="K573" s="4"/>
      <c r="L573" s="4"/>
      <c r="M573" s="4"/>
      <c r="N573" s="4"/>
      <c r="O573" s="4"/>
      <c r="P573" s="4"/>
    </row>
    <row r="574" spans="1:16" s="1" customFormat="1">
      <c r="C574" s="5"/>
      <c r="D574" s="5"/>
    </row>
    <row r="575" spans="1:16" s="1" customFormat="1">
      <c r="C575" s="5"/>
      <c r="D575" s="5"/>
    </row>
    <row r="576" spans="1:16" s="1" customFormat="1"/>
    <row r="577" spans="1:8" s="1" customFormat="1">
      <c r="A577" s="6"/>
      <c r="B577" s="6"/>
    </row>
    <row r="578" spans="1:8" s="1" customFormat="1">
      <c r="A578" s="5"/>
      <c r="B578" s="5"/>
      <c r="C578" s="5"/>
      <c r="D578" s="5"/>
      <c r="F578" s="5"/>
      <c r="H578" s="5"/>
    </row>
    <row r="579" spans="1:8" s="1" customFormat="1"/>
    <row r="580" spans="1:8" s="1" customFormat="1"/>
    <row r="581" spans="1:8" s="1" customFormat="1">
      <c r="E581" s="5"/>
    </row>
    <row r="582" spans="1:8" s="1" customFormat="1"/>
    <row r="583" spans="1:8" s="1" customFormat="1"/>
    <row r="584" spans="1:8" s="1" customFormat="1">
      <c r="D584" s="5"/>
      <c r="E584" s="5"/>
      <c r="F584" s="5"/>
      <c r="G584" s="5"/>
    </row>
    <row r="585" spans="1:8" s="1" customFormat="1"/>
    <row r="586" spans="1:8" s="1" customFormat="1"/>
    <row r="587" spans="1:8" s="1" customFormat="1">
      <c r="D587" s="5"/>
      <c r="E587" s="5"/>
      <c r="F587" s="5"/>
    </row>
    <row r="588" spans="1:8" s="1" customFormat="1"/>
    <row r="589" spans="1:8" s="1" customFormat="1"/>
    <row r="590" spans="1:8" s="1" customFormat="1">
      <c r="B590" s="4"/>
      <c r="C590" s="7"/>
      <c r="D590" s="6"/>
      <c r="E590" s="5"/>
      <c r="F590" s="5"/>
    </row>
    <row r="591" spans="1:8" s="1" customFormat="1">
      <c r="C591" s="8"/>
      <c r="D591" s="2"/>
    </row>
    <row r="592" spans="1:8" s="1" customFormat="1"/>
    <row r="593" spans="1:8" s="1" customFormat="1"/>
    <row r="594" spans="1:8" s="1" customFormat="1"/>
    <row r="595" spans="1:8" s="1" customFormat="1"/>
    <row r="596" spans="1:8" s="1" customFormat="1">
      <c r="A596" s="6"/>
      <c r="B596" s="6"/>
    </row>
    <row r="597" spans="1:8" s="1" customFormat="1">
      <c r="A597" s="5"/>
      <c r="B597" s="5"/>
      <c r="C597" s="5"/>
      <c r="D597" s="5"/>
      <c r="F597" s="5"/>
      <c r="H597" s="5"/>
    </row>
    <row r="598" spans="1:8" s="1" customFormat="1"/>
    <row r="599" spans="1:8" s="1" customFormat="1"/>
    <row r="600" spans="1:8" s="1" customFormat="1">
      <c r="E600" s="5"/>
    </row>
    <row r="601" spans="1:8" s="1" customFormat="1"/>
    <row r="602" spans="1:8" s="1" customFormat="1"/>
    <row r="603" spans="1:8" s="1" customFormat="1">
      <c r="D603" s="5"/>
      <c r="E603" s="5"/>
      <c r="F603" s="5"/>
      <c r="G603" s="5"/>
    </row>
    <row r="604" spans="1:8" s="1" customFormat="1"/>
    <row r="605" spans="1:8" s="1" customFormat="1"/>
    <row r="606" spans="1:8" s="1" customFormat="1">
      <c r="D606" s="5"/>
      <c r="E606" s="5"/>
      <c r="F606" s="5"/>
    </row>
    <row r="607" spans="1:8" s="1" customFormat="1"/>
    <row r="608" spans="1:8" s="1" customFormat="1"/>
    <row r="609" spans="1:8" s="1" customFormat="1">
      <c r="B609" s="4"/>
      <c r="C609" s="7"/>
      <c r="D609" s="6"/>
      <c r="E609" s="5"/>
      <c r="F609" s="5"/>
    </row>
    <row r="610" spans="1:8" s="1" customFormat="1">
      <c r="C610" s="8"/>
      <c r="D610" s="2"/>
    </row>
    <row r="611" spans="1:8" s="1" customFormat="1"/>
    <row r="612" spans="1:8" s="1" customFormat="1"/>
    <row r="613" spans="1:8" s="1" customFormat="1"/>
    <row r="614" spans="1:8" s="1" customFormat="1">
      <c r="A614" s="5"/>
      <c r="B614" s="5"/>
      <c r="C614" s="5"/>
      <c r="D614" s="5"/>
      <c r="F614" s="5"/>
    </row>
    <row r="615" spans="1:8" s="1" customFormat="1">
      <c r="A615" s="6"/>
      <c r="B615" s="6"/>
    </row>
    <row r="616" spans="1:8" s="1" customFormat="1">
      <c r="A616" s="5"/>
      <c r="B616" s="5"/>
      <c r="C616" s="5"/>
      <c r="D616" s="5"/>
      <c r="F616" s="5"/>
      <c r="H616" s="5"/>
    </row>
    <row r="617" spans="1:8" s="1" customFormat="1"/>
    <row r="618" spans="1:8" s="1" customFormat="1"/>
    <row r="619" spans="1:8" s="1" customFormat="1">
      <c r="E619" s="5"/>
    </row>
    <row r="620" spans="1:8" s="1" customFormat="1"/>
    <row r="621" spans="1:8" s="1" customFormat="1"/>
    <row r="622" spans="1:8" s="1" customFormat="1">
      <c r="D622" s="5"/>
      <c r="E622" s="5"/>
      <c r="F622" s="5"/>
      <c r="G622" s="5"/>
    </row>
    <row r="623" spans="1:8" s="1" customFormat="1"/>
    <row r="624" spans="1:8" s="1" customFormat="1"/>
    <row r="625" spans="2:6" s="1" customFormat="1">
      <c r="D625" s="5"/>
      <c r="E625" s="5"/>
      <c r="F625" s="5"/>
    </row>
    <row r="626" spans="2:6" s="1" customFormat="1"/>
    <row r="627" spans="2:6" s="1" customFormat="1"/>
    <row r="628" spans="2:6" s="1" customFormat="1">
      <c r="B628" s="4"/>
      <c r="C628" s="7"/>
      <c r="D628" s="6"/>
      <c r="E628" s="5"/>
      <c r="F628" s="5"/>
    </row>
    <row r="629" spans="2:6" s="1" customFormat="1">
      <c r="C629" s="8"/>
      <c r="D629" s="2"/>
    </row>
    <row r="630" spans="2:6" s="1" customFormat="1"/>
    <row r="631" spans="2:6" s="1" customFormat="1"/>
    <row r="632" spans="2:6" s="1" customFormat="1"/>
    <row r="633" spans="2:6" s="1" customFormat="1"/>
    <row r="634" spans="2:6" s="1" customFormat="1"/>
    <row r="635" spans="2:6" s="1" customFormat="1"/>
    <row r="636" spans="2:6" s="1" customFormat="1"/>
    <row r="637" spans="2:6" s="1" customFormat="1"/>
    <row r="638" spans="2:6" s="1" customFormat="1"/>
    <row r="639" spans="2:6" s="1" customFormat="1"/>
    <row r="640" spans="2:6" s="1" customFormat="1"/>
    <row r="641" s="1" customFormat="1"/>
    <row r="642" s="1" customFormat="1"/>
    <row r="643" s="1" customFormat="1"/>
    <row r="644" s="1" customFormat="1"/>
    <row r="645" s="1" customFormat="1"/>
    <row r="646" s="1" customFormat="1"/>
    <row r="647" s="1" customFormat="1"/>
    <row r="648" s="1" customFormat="1"/>
    <row r="649" s="1" customFormat="1"/>
    <row r="650" s="1" customFormat="1"/>
    <row r="651" s="1" customFormat="1"/>
    <row r="652" s="1" customFormat="1"/>
    <row r="653" s="1" customFormat="1"/>
    <row r="654" s="1" customFormat="1"/>
    <row r="655" s="1" customFormat="1"/>
    <row r="656" s="1" customFormat="1"/>
    <row r="657" s="1" customFormat="1"/>
    <row r="658" s="1" customFormat="1"/>
    <row r="659" s="1" customFormat="1"/>
    <row r="660" s="1" customFormat="1"/>
    <row r="661" s="1" customFormat="1"/>
    <row r="662" s="1" customFormat="1"/>
    <row r="663" s="1" customFormat="1"/>
    <row r="664" s="1" customFormat="1"/>
    <row r="665" s="1" customFormat="1"/>
    <row r="666" s="1" customFormat="1"/>
    <row r="667" s="1" customFormat="1"/>
    <row r="668" s="1" customFormat="1"/>
    <row r="669" s="1" customFormat="1"/>
    <row r="670" s="1" customFormat="1"/>
    <row r="671" s="1" customFormat="1"/>
    <row r="672" s="1" customFormat="1"/>
    <row r="673" s="1" customFormat="1"/>
    <row r="674" s="1" customFormat="1"/>
    <row r="675" s="1" customFormat="1"/>
    <row r="676" s="1" customFormat="1"/>
    <row r="677" s="1" customFormat="1"/>
    <row r="678" s="1" customFormat="1"/>
    <row r="679" s="1" customFormat="1"/>
    <row r="680" s="1" customFormat="1"/>
    <row r="681" s="1" customFormat="1"/>
    <row r="682" s="1" customFormat="1"/>
    <row r="683" s="1" customFormat="1"/>
    <row r="684" s="1" customFormat="1"/>
    <row r="685" s="1" customFormat="1"/>
    <row r="686" s="1" customFormat="1"/>
    <row r="687" s="1" customFormat="1"/>
    <row r="688" s="1" customFormat="1"/>
    <row r="689" s="1" customFormat="1"/>
    <row r="690" s="1" customFormat="1"/>
    <row r="691" s="1" customFormat="1"/>
    <row r="692" s="1" customFormat="1"/>
    <row r="693" s="1" customFormat="1"/>
    <row r="694" s="1" customFormat="1"/>
    <row r="695" s="1" customFormat="1"/>
    <row r="696" s="1" customFormat="1"/>
    <row r="697" s="1" customFormat="1"/>
    <row r="698" s="1" customFormat="1"/>
    <row r="699" s="1" customFormat="1"/>
    <row r="700" s="1" customFormat="1"/>
    <row r="701" s="1" customFormat="1"/>
    <row r="702" s="1" customFormat="1"/>
    <row r="703" s="1" customFormat="1"/>
    <row r="704" s="1" customFormat="1"/>
    <row r="705" s="1" customFormat="1"/>
    <row r="706" s="1" customFormat="1"/>
    <row r="707" s="1" customFormat="1"/>
    <row r="708" s="1" customFormat="1"/>
    <row r="709" s="1" customFormat="1"/>
    <row r="710" s="1" customFormat="1"/>
    <row r="711" s="1" customFormat="1"/>
    <row r="712" s="1" customFormat="1"/>
    <row r="713" s="1" customFormat="1"/>
    <row r="714" s="1" customFormat="1"/>
    <row r="715" s="1" customFormat="1"/>
    <row r="716" s="1" customFormat="1"/>
    <row r="717" s="1" customFormat="1"/>
    <row r="718" s="1" customFormat="1"/>
    <row r="719" s="1" customFormat="1"/>
    <row r="720" s="1" customFormat="1"/>
    <row r="721" s="1" customFormat="1"/>
    <row r="722" s="1" customFormat="1"/>
    <row r="723" s="1" customFormat="1"/>
    <row r="724" s="1" customFormat="1"/>
    <row r="725" s="1" customFormat="1"/>
    <row r="726" s="1" customFormat="1"/>
    <row r="727" s="1" customFormat="1"/>
    <row r="728" s="1" customFormat="1"/>
    <row r="729" s="1" customFormat="1"/>
    <row r="730" s="1" customFormat="1"/>
    <row r="731" s="1" customFormat="1"/>
    <row r="732" s="1" customFormat="1"/>
    <row r="733" s="1" customFormat="1"/>
    <row r="734" s="1" customFormat="1"/>
    <row r="735" s="1" customFormat="1"/>
    <row r="736" s="1" customFormat="1"/>
    <row r="737" s="1" customFormat="1"/>
    <row r="738" s="1" customFormat="1"/>
    <row r="739" s="1" customFormat="1"/>
    <row r="740" s="1" customFormat="1"/>
    <row r="741" s="1" customFormat="1"/>
    <row r="742" s="1" customFormat="1"/>
    <row r="743" s="1" customFormat="1"/>
    <row r="744" s="1" customFormat="1"/>
    <row r="745" s="1" customFormat="1"/>
    <row r="746" s="1" customFormat="1"/>
    <row r="747" s="1" customFormat="1"/>
    <row r="748" s="1" customFormat="1"/>
    <row r="749" s="1" customFormat="1"/>
    <row r="750" s="1" customFormat="1"/>
    <row r="751" s="1" customFormat="1"/>
    <row r="752" s="1" customFormat="1"/>
    <row r="753" s="1" customFormat="1"/>
    <row r="754" s="1" customFormat="1"/>
    <row r="755" s="1" customFormat="1"/>
    <row r="756" s="1" customFormat="1"/>
    <row r="757" s="1" customFormat="1"/>
    <row r="758" s="1" customFormat="1"/>
    <row r="759" s="1" customFormat="1"/>
    <row r="760" s="1" customFormat="1"/>
    <row r="761" s="1" customFormat="1"/>
    <row r="762" s="1" customFormat="1"/>
    <row r="763" s="1" customFormat="1"/>
    <row r="764" s="1" customFormat="1"/>
    <row r="765" s="1" customFormat="1"/>
    <row r="766" s="1" customFormat="1"/>
    <row r="767" s="1" customFormat="1"/>
    <row r="768" s="1" customFormat="1"/>
    <row r="769" s="1" customFormat="1"/>
    <row r="770" s="1" customFormat="1"/>
    <row r="771" s="1" customFormat="1"/>
    <row r="772" s="1" customFormat="1"/>
    <row r="773" s="1" customFormat="1"/>
    <row r="774" s="1" customFormat="1"/>
    <row r="775" s="1" customFormat="1"/>
    <row r="776" s="1" customFormat="1"/>
    <row r="777" s="1" customFormat="1"/>
    <row r="778" s="1" customFormat="1"/>
    <row r="779" s="1" customFormat="1"/>
    <row r="780" s="1" customFormat="1"/>
    <row r="781" s="1" customFormat="1"/>
    <row r="782" s="1" customFormat="1"/>
    <row r="783" s="1" customFormat="1"/>
    <row r="784" s="1" customFormat="1"/>
    <row r="785" s="1" customFormat="1"/>
    <row r="786" s="1" customFormat="1"/>
    <row r="787" s="1" customFormat="1"/>
    <row r="788" s="1" customFormat="1"/>
    <row r="789" s="1" customFormat="1"/>
    <row r="790" s="1" customFormat="1"/>
    <row r="791" s="1" customFormat="1"/>
    <row r="792" s="1" customFormat="1"/>
    <row r="793" s="1" customFormat="1"/>
    <row r="794" s="1" customFormat="1"/>
    <row r="795" s="1" customFormat="1"/>
    <row r="796" s="1" customFormat="1"/>
    <row r="797" s="1" customFormat="1"/>
    <row r="798" s="1" customFormat="1"/>
    <row r="799" s="1" customFormat="1"/>
    <row r="800" s="1" customFormat="1"/>
    <row r="801" s="1" customFormat="1"/>
    <row r="802" s="1" customFormat="1"/>
    <row r="803" s="1" customFormat="1"/>
    <row r="804" s="1" customFormat="1"/>
    <row r="805" s="1" customFormat="1"/>
    <row r="806" s="1" customFormat="1"/>
    <row r="807" s="1" customFormat="1"/>
    <row r="808" s="1" customFormat="1"/>
    <row r="809" s="1" customFormat="1"/>
    <row r="810" s="1" customFormat="1"/>
    <row r="811" s="1" customFormat="1"/>
    <row r="812" s="1" customFormat="1"/>
    <row r="813" s="1" customFormat="1"/>
    <row r="814" s="1" customFormat="1"/>
    <row r="815" s="1" customFormat="1"/>
    <row r="816" s="1" customFormat="1"/>
    <row r="817" s="1" customFormat="1"/>
    <row r="818" s="1" customFormat="1"/>
    <row r="819" s="1" customFormat="1"/>
    <row r="820" s="1" customFormat="1"/>
    <row r="821" s="1" customFormat="1"/>
    <row r="822" s="1" customFormat="1"/>
    <row r="823" s="1" customFormat="1"/>
    <row r="824" s="1" customFormat="1"/>
    <row r="825" s="1" customFormat="1"/>
    <row r="826" s="1" customFormat="1"/>
    <row r="827" s="1" customFormat="1"/>
    <row r="828" s="1" customFormat="1"/>
    <row r="829" s="1" customFormat="1"/>
    <row r="830" s="1" customFormat="1"/>
    <row r="831" s="1" customFormat="1"/>
    <row r="832" s="1" customFormat="1"/>
    <row r="833" s="1" customFormat="1"/>
    <row r="834" s="1" customFormat="1"/>
    <row r="835" s="1" customFormat="1"/>
    <row r="836" s="1" customFormat="1"/>
    <row r="837" s="1" customFormat="1"/>
    <row r="838" s="1" customFormat="1"/>
    <row r="839" s="1" customFormat="1"/>
    <row r="840" s="1" customFormat="1"/>
    <row r="841" s="1" customFormat="1"/>
    <row r="842" s="1" customFormat="1"/>
    <row r="843" s="1" customFormat="1"/>
    <row r="844" s="1" customFormat="1"/>
    <row r="845" s="1" customFormat="1"/>
    <row r="846" s="1" customFormat="1"/>
    <row r="847" s="1" customFormat="1"/>
    <row r="848" s="1" customFormat="1"/>
    <row r="849" s="1" customFormat="1"/>
    <row r="850" s="1" customFormat="1"/>
    <row r="851" s="1" customFormat="1"/>
    <row r="852" s="1" customFormat="1"/>
    <row r="853" s="1" customFormat="1"/>
    <row r="854" s="1" customFormat="1"/>
    <row r="855" s="1" customFormat="1"/>
    <row r="856" s="1" customFormat="1"/>
    <row r="857" s="1" customFormat="1"/>
    <row r="858" s="1" customFormat="1"/>
    <row r="859" s="1" customFormat="1"/>
    <row r="860" s="1" customFormat="1"/>
    <row r="861" s="1" customFormat="1"/>
    <row r="862" s="1" customFormat="1"/>
    <row r="863" s="1" customFormat="1"/>
    <row r="864" s="1" customFormat="1"/>
    <row r="865" s="1" customFormat="1"/>
    <row r="866" s="1" customFormat="1"/>
    <row r="867" s="1" customFormat="1"/>
    <row r="868" s="1" customFormat="1"/>
    <row r="869" s="1" customFormat="1"/>
    <row r="870" s="1" customFormat="1"/>
    <row r="871" s="1" customFormat="1"/>
    <row r="872" s="1" customFormat="1"/>
    <row r="873" s="1" customFormat="1"/>
    <row r="874" s="1" customFormat="1"/>
    <row r="875" s="1" customFormat="1"/>
    <row r="876" s="1" customFormat="1"/>
    <row r="877" s="1" customFormat="1"/>
    <row r="878" s="1" customFormat="1"/>
    <row r="879" s="1" customFormat="1"/>
    <row r="880" s="1" customFormat="1"/>
    <row r="881" s="1" customFormat="1"/>
    <row r="882" s="1" customFormat="1"/>
    <row r="883" s="1" customFormat="1"/>
    <row r="884" s="1" customFormat="1"/>
    <row r="885" s="1" customFormat="1"/>
    <row r="886" s="1" customFormat="1"/>
    <row r="887" s="1" customFormat="1"/>
    <row r="888" s="1" customFormat="1"/>
    <row r="889" s="1" customFormat="1"/>
    <row r="890" s="1" customFormat="1"/>
    <row r="891" s="1" customFormat="1"/>
    <row r="892" s="1" customFormat="1"/>
    <row r="893" s="1" customFormat="1"/>
    <row r="894" s="1" customFormat="1"/>
    <row r="895" s="1" customFormat="1"/>
    <row r="896" s="1" customFormat="1"/>
    <row r="897" s="1" customFormat="1"/>
    <row r="898" s="1" customFormat="1"/>
    <row r="899" s="1" customFormat="1"/>
    <row r="900" s="1" customFormat="1"/>
    <row r="901" s="1" customFormat="1"/>
    <row r="902" s="1" customFormat="1"/>
    <row r="903" s="1" customFormat="1"/>
    <row r="904" s="1" customFormat="1"/>
    <row r="905" s="1" customFormat="1"/>
    <row r="906" s="1" customFormat="1"/>
    <row r="907" s="1" customFormat="1"/>
    <row r="908" s="1" customFormat="1"/>
    <row r="909" s="1" customFormat="1"/>
    <row r="910" s="1" customFormat="1"/>
    <row r="911" s="1" customFormat="1"/>
    <row r="912" s="1" customFormat="1"/>
    <row r="913" s="1" customFormat="1"/>
    <row r="914" s="1" customFormat="1"/>
    <row r="915" s="1" customFormat="1"/>
    <row r="916" s="1" customFormat="1"/>
    <row r="917" s="1" customFormat="1"/>
    <row r="918" s="1" customFormat="1"/>
    <row r="919" s="1" customFormat="1"/>
    <row r="920" s="1" customFormat="1"/>
    <row r="921" s="1" customFormat="1"/>
    <row r="922" s="1" customFormat="1"/>
    <row r="923" s="1" customFormat="1"/>
    <row r="924" s="1" customFormat="1"/>
    <row r="925" s="1" customFormat="1"/>
    <row r="926" s="1" customFormat="1"/>
    <row r="927" s="1" customFormat="1"/>
    <row r="928" s="1" customFormat="1"/>
    <row r="929" s="1" customFormat="1"/>
    <row r="930" s="1" customFormat="1"/>
    <row r="931" s="1" customFormat="1"/>
    <row r="932" s="1" customFormat="1"/>
    <row r="933" s="1" customFormat="1"/>
    <row r="934" s="1" customFormat="1"/>
    <row r="935" s="1" customFormat="1"/>
    <row r="936" s="1" customFormat="1"/>
    <row r="937" s="1" customFormat="1"/>
    <row r="938" s="1" customFormat="1"/>
    <row r="939" s="1" customFormat="1"/>
    <row r="940" s="1" customFormat="1"/>
    <row r="941" s="1" customFormat="1"/>
    <row r="942" s="1" customFormat="1"/>
    <row r="943" s="1" customFormat="1"/>
    <row r="944" s="1" customFormat="1"/>
    <row r="945" s="1" customFormat="1"/>
    <row r="946" s="1" customFormat="1"/>
    <row r="947" s="1" customFormat="1"/>
    <row r="948" s="1" customFormat="1"/>
    <row r="949" s="1" customFormat="1"/>
    <row r="950" s="1" customFormat="1"/>
    <row r="951" s="1" customFormat="1"/>
    <row r="952" s="1" customFormat="1"/>
    <row r="953" s="1" customFormat="1"/>
    <row r="954" s="1" customFormat="1"/>
    <row r="955" s="1" customFormat="1"/>
    <row r="956" s="1" customFormat="1"/>
    <row r="957" s="1" customFormat="1"/>
    <row r="958" s="1" customFormat="1"/>
    <row r="959" s="1" customFormat="1"/>
    <row r="960" s="1" customFormat="1"/>
    <row r="961" s="1" customFormat="1"/>
    <row r="962" s="1" customFormat="1"/>
    <row r="963" s="1" customFormat="1"/>
    <row r="964" s="1" customFormat="1"/>
    <row r="965" s="1" customFormat="1"/>
    <row r="966" s="1" customFormat="1"/>
    <row r="967" s="1" customFormat="1"/>
    <row r="968" s="1" customFormat="1"/>
    <row r="969" s="1" customFormat="1"/>
    <row r="970" s="1" customFormat="1"/>
    <row r="971" s="1" customFormat="1"/>
    <row r="972" s="1" customFormat="1"/>
    <row r="973" s="1" customFormat="1"/>
    <row r="974" s="1" customFormat="1"/>
    <row r="975" s="1" customFormat="1"/>
    <row r="976" s="1" customFormat="1"/>
    <row r="977" s="1" customFormat="1"/>
    <row r="978" s="1" customFormat="1"/>
    <row r="979" s="1" customFormat="1"/>
    <row r="980" s="1" customFormat="1"/>
    <row r="981" s="1" customFormat="1"/>
    <row r="982" s="1" customFormat="1"/>
    <row r="983" s="1" customFormat="1"/>
    <row r="984" s="1" customFormat="1"/>
    <row r="985" s="1" customFormat="1"/>
    <row r="986" s="1" customFormat="1"/>
    <row r="987" s="1" customFormat="1"/>
    <row r="988" s="1" customFormat="1"/>
    <row r="989" s="1" customFormat="1"/>
    <row r="990" s="1" customFormat="1"/>
    <row r="991" s="1" customFormat="1"/>
    <row r="992" s="1" customFormat="1"/>
    <row r="993" s="1" customFormat="1"/>
    <row r="994" s="1" customFormat="1"/>
    <row r="995" s="1" customFormat="1"/>
    <row r="996" s="1" customFormat="1"/>
    <row r="997" s="1" customFormat="1"/>
    <row r="998" s="1" customFormat="1"/>
    <row r="999" s="1" customFormat="1"/>
    <row r="1000" s="1" customFormat="1"/>
    <row r="1001" s="1" customFormat="1"/>
    <row r="1002" s="1" customFormat="1"/>
    <row r="1003" s="1" customFormat="1"/>
    <row r="1004" s="1" customFormat="1"/>
    <row r="1005" s="1" customFormat="1"/>
    <row r="1006" s="1" customFormat="1"/>
    <row r="1007" s="1" customFormat="1"/>
    <row r="1008" s="1" customFormat="1"/>
    <row r="1009" s="1" customFormat="1"/>
    <row r="1010" s="1" customFormat="1"/>
    <row r="1011" s="1" customFormat="1"/>
    <row r="1012" s="1" customFormat="1"/>
    <row r="1013" s="1" customFormat="1"/>
    <row r="1014" s="1" customFormat="1"/>
    <row r="1015" s="1" customFormat="1"/>
    <row r="1016" s="1" customFormat="1"/>
    <row r="1017" s="1" customFormat="1"/>
    <row r="1018" s="1" customFormat="1"/>
    <row r="1019" s="1" customFormat="1"/>
    <row r="1020" s="1" customFormat="1"/>
  </sheetData>
  <phoneticPr fontId="1" type="noConversion"/>
  <pageMargins left="0.75" right="0.75" top="1" bottom="1" header="0.5" footer="0.5"/>
  <pageSetup paperSize="9" orientation="portrait" horizontalDpi="1200" verticalDpi="1200" r:id="rId1"/>
  <headerFooter alignWithMargins="0"/>
  <drawing r:id="rId2"/>
  <legacyDrawing r:id="rId3"/>
  <oleObjects>
    <mc:AlternateContent xmlns:mc="http://schemas.openxmlformats.org/markup-compatibility/2006">
      <mc:Choice Requires="x14">
        <oleObject progId="Equation.3" shapeId="1171" r:id="rId4">
          <objectPr defaultSize="0" autoPict="0" r:id="rId5">
            <anchor moveWithCells="1" sizeWithCells="1">
              <from>
                <xdr:col>10</xdr:col>
                <xdr:colOff>647700</xdr:colOff>
                <xdr:row>5</xdr:row>
                <xdr:rowOff>47625</xdr:rowOff>
              </from>
              <to>
                <xdr:col>13</xdr:col>
                <xdr:colOff>466725</xdr:colOff>
                <xdr:row>8</xdr:row>
                <xdr:rowOff>114300</xdr:rowOff>
              </to>
            </anchor>
          </objectPr>
        </oleObject>
      </mc:Choice>
      <mc:Fallback>
        <oleObject progId="Equation.3" shapeId="1171" r:id="rId4"/>
      </mc:Fallback>
    </mc:AlternateContent>
    <mc:AlternateContent xmlns:mc="http://schemas.openxmlformats.org/markup-compatibility/2006">
      <mc:Choice Requires="x14">
        <oleObject progId="Equation.3" shapeId="1172" r:id="rId6">
          <objectPr defaultSize="0" autoPict="0" r:id="rId7">
            <anchor moveWithCells="1" sizeWithCells="1">
              <from>
                <xdr:col>13</xdr:col>
                <xdr:colOff>571500</xdr:colOff>
                <xdr:row>5</xdr:row>
                <xdr:rowOff>66675</xdr:rowOff>
              </from>
              <to>
                <xdr:col>17</xdr:col>
                <xdr:colOff>228600</xdr:colOff>
                <xdr:row>8</xdr:row>
                <xdr:rowOff>133350</xdr:rowOff>
              </to>
            </anchor>
          </objectPr>
        </oleObject>
      </mc:Choice>
      <mc:Fallback>
        <oleObject progId="Equation.3" shapeId="1172" r:id="rId6"/>
      </mc:Fallback>
    </mc:AlternateContent>
    <mc:AlternateContent xmlns:mc="http://schemas.openxmlformats.org/markup-compatibility/2006">
      <mc:Choice Requires="x14">
        <oleObject progId="Equation.3" shapeId="1173" r:id="rId8">
          <objectPr defaultSize="0" autoPict="0" r:id="rId9">
            <anchor moveWithCells="1" sizeWithCells="1">
              <from>
                <xdr:col>9</xdr:col>
                <xdr:colOff>66675</xdr:colOff>
                <xdr:row>8</xdr:row>
                <xdr:rowOff>152400</xdr:rowOff>
              </from>
              <to>
                <xdr:col>15</xdr:col>
                <xdr:colOff>85725</xdr:colOff>
                <xdr:row>12</xdr:row>
                <xdr:rowOff>0</xdr:rowOff>
              </to>
            </anchor>
          </objectPr>
        </oleObject>
      </mc:Choice>
      <mc:Fallback>
        <oleObject progId="Equation.3" shapeId="1173" r:id="rId8"/>
      </mc:Fallback>
    </mc:AlternateContent>
    <mc:AlternateContent xmlns:mc="http://schemas.openxmlformats.org/markup-compatibility/2006">
      <mc:Choice Requires="x14">
        <oleObject progId="Equation.3" shapeId="1174" r:id="rId10">
          <objectPr defaultSize="0" autoPict="0" r:id="rId11">
            <anchor moveWithCells="1" sizeWithCells="1">
              <from>
                <xdr:col>9</xdr:col>
                <xdr:colOff>9525</xdr:colOff>
                <xdr:row>11</xdr:row>
                <xdr:rowOff>171450</xdr:rowOff>
              </from>
              <to>
                <xdr:col>15</xdr:col>
                <xdr:colOff>152400</xdr:colOff>
                <xdr:row>15</xdr:row>
                <xdr:rowOff>38100</xdr:rowOff>
              </to>
            </anchor>
          </objectPr>
        </oleObject>
      </mc:Choice>
      <mc:Fallback>
        <oleObject progId="Equation.3" shapeId="1174" r:id="rId10"/>
      </mc:Fallback>
    </mc:AlternateContent>
    <mc:AlternateContent xmlns:mc="http://schemas.openxmlformats.org/markup-compatibility/2006">
      <mc:Choice Requires="x14">
        <oleObject progId="Equation.3" shapeId="1175" r:id="rId12">
          <objectPr defaultSize="0" autoPict="0" r:id="rId13">
            <anchor moveWithCells="1" sizeWithCells="1">
              <from>
                <xdr:col>9</xdr:col>
                <xdr:colOff>9525</xdr:colOff>
                <xdr:row>14</xdr:row>
                <xdr:rowOff>171450</xdr:rowOff>
              </from>
              <to>
                <xdr:col>14</xdr:col>
                <xdr:colOff>619125</xdr:colOff>
                <xdr:row>18</xdr:row>
                <xdr:rowOff>123825</xdr:rowOff>
              </to>
            </anchor>
          </objectPr>
        </oleObject>
      </mc:Choice>
      <mc:Fallback>
        <oleObject progId="Equation.3" shapeId="1175" r:id="rId12"/>
      </mc:Fallback>
    </mc:AlternateContent>
    <mc:AlternateContent xmlns:mc="http://schemas.openxmlformats.org/markup-compatibility/2006">
      <mc:Choice Requires="x14">
        <oleObject shapeId="1176" r:id="rId14">
          <objectPr defaultSize="0" autoPict="0" r:id="rId15">
            <anchor moveWithCells="1" sizeWithCells="1">
              <from>
                <xdr:col>15</xdr:col>
                <xdr:colOff>304800</xdr:colOff>
                <xdr:row>8</xdr:row>
                <xdr:rowOff>171450</xdr:rowOff>
              </from>
              <to>
                <xdr:col>21</xdr:col>
                <xdr:colOff>123825</xdr:colOff>
                <xdr:row>12</xdr:row>
                <xdr:rowOff>152400</xdr:rowOff>
              </to>
            </anchor>
          </objectPr>
        </oleObject>
      </mc:Choice>
      <mc:Fallback>
        <oleObject shapeId="1176" r:id="rId14"/>
      </mc:Fallback>
    </mc:AlternateContent>
    <mc:AlternateContent xmlns:mc="http://schemas.openxmlformats.org/markup-compatibility/2006">
      <mc:Choice Requires="x14">
        <oleObject shapeId="1177" r:id="rId16">
          <objectPr defaultSize="0" autoPict="0" r:id="rId17">
            <anchor moveWithCells="1" sizeWithCells="1">
              <from>
                <xdr:col>15</xdr:col>
                <xdr:colOff>295275</xdr:colOff>
                <xdr:row>12</xdr:row>
                <xdr:rowOff>171450</xdr:rowOff>
              </from>
              <to>
                <xdr:col>21</xdr:col>
                <xdr:colOff>466725</xdr:colOff>
                <xdr:row>17</xdr:row>
                <xdr:rowOff>76200</xdr:rowOff>
              </to>
            </anchor>
          </objectPr>
        </oleObject>
      </mc:Choice>
      <mc:Fallback>
        <oleObject shapeId="1177" r:id="rId16"/>
      </mc:Fallback>
    </mc:AlternateContent>
    <mc:AlternateContent xmlns:mc="http://schemas.openxmlformats.org/markup-compatibility/2006">
      <mc:Choice Requires="x14">
        <oleObject shapeId="1178" r:id="rId18">
          <objectPr defaultSize="0" autoPict="0" r:id="rId19">
            <anchor moveWithCells="1" sizeWithCells="1">
              <from>
                <xdr:col>15</xdr:col>
                <xdr:colOff>333375</xdr:colOff>
                <xdr:row>17</xdr:row>
                <xdr:rowOff>19050</xdr:rowOff>
              </from>
              <to>
                <xdr:col>17</xdr:col>
                <xdr:colOff>457200</xdr:colOff>
                <xdr:row>21</xdr:row>
                <xdr:rowOff>0</xdr:rowOff>
              </to>
            </anchor>
          </objectPr>
        </oleObject>
      </mc:Choice>
      <mc:Fallback>
        <oleObject shapeId="1178" r:id="rId18"/>
      </mc:Fallback>
    </mc:AlternateContent>
    <mc:AlternateContent xmlns:mc="http://schemas.openxmlformats.org/markup-compatibility/2006">
      <mc:Choice Requires="x14">
        <oleObject shapeId="1179" r:id="rId20">
          <objectPr defaultSize="0" autoPict="0" r:id="rId21">
            <anchor moveWithCells="1" sizeWithCells="1">
              <from>
                <xdr:col>17</xdr:col>
                <xdr:colOff>628650</xdr:colOff>
                <xdr:row>17</xdr:row>
                <xdr:rowOff>57150</xdr:rowOff>
              </from>
              <to>
                <xdr:col>20</xdr:col>
                <xdr:colOff>238125</xdr:colOff>
                <xdr:row>21</xdr:row>
                <xdr:rowOff>114300</xdr:rowOff>
              </to>
            </anchor>
          </objectPr>
        </oleObject>
      </mc:Choice>
      <mc:Fallback>
        <oleObject shapeId="1179" r:id="rId20"/>
      </mc:Fallback>
    </mc:AlternateContent>
    <mc:AlternateContent xmlns:mc="http://schemas.openxmlformats.org/markup-compatibility/2006">
      <mc:Choice Requires="x14">
        <oleObject progId="Equation.DSMT4" shapeId="1180" r:id="rId22">
          <objectPr defaultSize="0" autoPict="0" r:id="rId23">
            <anchor moveWithCells="1" sizeWithCells="1">
              <from>
                <xdr:col>13</xdr:col>
                <xdr:colOff>485775</xdr:colOff>
                <xdr:row>29</xdr:row>
                <xdr:rowOff>19050</xdr:rowOff>
              </from>
              <to>
                <xdr:col>18</xdr:col>
                <xdr:colOff>209550</xdr:colOff>
                <xdr:row>32</xdr:row>
                <xdr:rowOff>152400</xdr:rowOff>
              </to>
            </anchor>
          </objectPr>
        </oleObject>
      </mc:Choice>
      <mc:Fallback>
        <oleObject progId="Equation.DSMT4" shapeId="1180" r:id="rId22"/>
      </mc:Fallback>
    </mc:AlternateContent>
    <mc:AlternateContent xmlns:mc="http://schemas.openxmlformats.org/markup-compatibility/2006">
      <mc:Choice Requires="x14">
        <oleObject progId="Equation.3" shapeId="1181" r:id="rId24">
          <objectPr defaultSize="0" autoPict="0" r:id="rId25">
            <anchor moveWithCells="1" sizeWithCells="1">
              <from>
                <xdr:col>9</xdr:col>
                <xdr:colOff>0</xdr:colOff>
                <xdr:row>26</xdr:row>
                <xdr:rowOff>19050</xdr:rowOff>
              </from>
              <to>
                <xdr:col>15</xdr:col>
                <xdr:colOff>133350</xdr:colOff>
                <xdr:row>30</xdr:row>
                <xdr:rowOff>0</xdr:rowOff>
              </to>
            </anchor>
          </objectPr>
        </oleObject>
      </mc:Choice>
      <mc:Fallback>
        <oleObject progId="Equation.3" shapeId="1181" r:id="rId24"/>
      </mc:Fallback>
    </mc:AlternateContent>
    <mc:AlternateContent xmlns:mc="http://schemas.openxmlformats.org/markup-compatibility/2006">
      <mc:Choice Requires="x14">
        <oleObject progId="Equation.3" shapeId="1182" r:id="rId26">
          <objectPr defaultSize="0" autoPict="0" r:id="rId27">
            <anchor moveWithCells="1" sizeWithCells="1">
              <from>
                <xdr:col>18</xdr:col>
                <xdr:colOff>438150</xdr:colOff>
                <xdr:row>29</xdr:row>
                <xdr:rowOff>57150</xdr:rowOff>
              </from>
              <to>
                <xdr:col>21</xdr:col>
                <xdr:colOff>57150</xdr:colOff>
                <xdr:row>33</xdr:row>
                <xdr:rowOff>9525</xdr:rowOff>
              </to>
            </anchor>
          </objectPr>
        </oleObject>
      </mc:Choice>
      <mc:Fallback>
        <oleObject progId="Equation.3" shapeId="1182" r:id="rId26"/>
      </mc:Fallback>
    </mc:AlternateContent>
    <mc:AlternateContent xmlns:mc="http://schemas.openxmlformats.org/markup-compatibility/2006">
      <mc:Choice Requires="x14">
        <oleObject progId="Equation.3" shapeId="1183" r:id="rId28">
          <objectPr defaultSize="0" autoPict="0" r:id="rId29">
            <anchor moveWithCells="1" sizeWithCells="1">
              <from>
                <xdr:col>9</xdr:col>
                <xdr:colOff>9525</xdr:colOff>
                <xdr:row>30</xdr:row>
                <xdr:rowOff>9525</xdr:rowOff>
              </from>
              <to>
                <xdr:col>13</xdr:col>
                <xdr:colOff>323850</xdr:colOff>
                <xdr:row>32</xdr:row>
                <xdr:rowOff>104775</xdr:rowOff>
              </to>
            </anchor>
          </objectPr>
        </oleObject>
      </mc:Choice>
      <mc:Fallback>
        <oleObject progId="Equation.3" shapeId="1183" r:id="rId28"/>
      </mc:Fallback>
    </mc:AlternateContent>
    <mc:AlternateContent xmlns:mc="http://schemas.openxmlformats.org/markup-compatibility/2006">
      <mc:Choice Requires="x14">
        <oleObject progId="Equation.3" shapeId="1184" r:id="rId30">
          <objectPr defaultSize="0" autoPict="0" r:id="rId31">
            <anchor moveWithCells="1" sizeWithCells="1">
              <from>
                <xdr:col>9</xdr:col>
                <xdr:colOff>0</xdr:colOff>
                <xdr:row>22</xdr:row>
                <xdr:rowOff>0</xdr:rowOff>
              </from>
              <to>
                <xdr:col>15</xdr:col>
                <xdr:colOff>171450</xdr:colOff>
                <xdr:row>25</xdr:row>
                <xdr:rowOff>171450</xdr:rowOff>
              </to>
            </anchor>
          </objectPr>
        </oleObject>
      </mc:Choice>
      <mc:Fallback>
        <oleObject progId="Equation.3" shapeId="1184" r:id="rId30"/>
      </mc:Fallback>
    </mc:AlternateContent>
    <mc:AlternateContent xmlns:mc="http://schemas.openxmlformats.org/markup-compatibility/2006">
      <mc:Choice Requires="x14">
        <oleObject progId="Equation.3" shapeId="1185" r:id="rId32">
          <objectPr defaultSize="0" autoPict="0" r:id="rId33">
            <anchor moveWithCells="1" sizeWithCells="1">
              <from>
                <xdr:col>9</xdr:col>
                <xdr:colOff>19050</xdr:colOff>
                <xdr:row>18</xdr:row>
                <xdr:rowOff>104775</xdr:rowOff>
              </from>
              <to>
                <xdr:col>12</xdr:col>
                <xdr:colOff>666750</xdr:colOff>
                <xdr:row>21</xdr:row>
                <xdr:rowOff>171450</xdr:rowOff>
              </to>
            </anchor>
          </objectPr>
        </oleObject>
      </mc:Choice>
      <mc:Fallback>
        <oleObject progId="Equation.3" shapeId="1185" r:id="rId32"/>
      </mc:Fallback>
    </mc:AlternateContent>
    <mc:AlternateContent xmlns:mc="http://schemas.openxmlformats.org/markup-compatibility/2006">
      <mc:Choice Requires="x14">
        <oleObject shapeId="1186" r:id="rId34">
          <objectPr defaultSize="0" autoPict="0" r:id="rId35">
            <anchor moveWithCells="1" sizeWithCells="1">
              <from>
                <xdr:col>15</xdr:col>
                <xdr:colOff>361950</xdr:colOff>
                <xdr:row>21</xdr:row>
                <xdr:rowOff>66675</xdr:rowOff>
              </from>
              <to>
                <xdr:col>17</xdr:col>
                <xdr:colOff>666750</xdr:colOff>
                <xdr:row>25</xdr:row>
                <xdr:rowOff>133350</xdr:rowOff>
              </to>
            </anchor>
          </objectPr>
        </oleObject>
      </mc:Choice>
      <mc:Fallback>
        <oleObject shapeId="1186" r:id="rId34"/>
      </mc:Fallback>
    </mc:AlternateContent>
    <mc:AlternateContent xmlns:mc="http://schemas.openxmlformats.org/markup-compatibility/2006">
      <mc:Choice Requires="x14">
        <oleObject shapeId="1187" r:id="rId36">
          <objectPr defaultSize="0" autoPict="0" r:id="rId37">
            <anchor moveWithCells="1" sizeWithCells="1">
              <from>
                <xdr:col>18</xdr:col>
                <xdr:colOff>19050</xdr:colOff>
                <xdr:row>21</xdr:row>
                <xdr:rowOff>114300</xdr:rowOff>
              </from>
              <to>
                <xdr:col>20</xdr:col>
                <xdr:colOff>257175</xdr:colOff>
                <xdr:row>25</xdr:row>
                <xdr:rowOff>161925</xdr:rowOff>
              </to>
            </anchor>
          </objectPr>
        </oleObject>
      </mc:Choice>
      <mc:Fallback>
        <oleObject shapeId="1187" r:id="rId36"/>
      </mc:Fallback>
    </mc:AlternateContent>
    <mc:AlternateContent xmlns:mc="http://schemas.openxmlformats.org/markup-compatibility/2006">
      <mc:Choice Requires="x14">
        <oleObject progId="Equation.3" shapeId="1188" r:id="rId38">
          <objectPr defaultSize="0" autoPict="0" r:id="rId39">
            <anchor moveWithCells="1" sizeWithCells="1">
              <from>
                <xdr:col>9</xdr:col>
                <xdr:colOff>38100</xdr:colOff>
                <xdr:row>65</xdr:row>
                <xdr:rowOff>171450</xdr:rowOff>
              </from>
              <to>
                <xdr:col>19</xdr:col>
                <xdr:colOff>247650</xdr:colOff>
                <xdr:row>70</xdr:row>
                <xdr:rowOff>19050</xdr:rowOff>
              </to>
            </anchor>
          </objectPr>
        </oleObject>
      </mc:Choice>
      <mc:Fallback>
        <oleObject progId="Equation.3" shapeId="1188" r:id="rId38"/>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40"/>
  <sheetViews>
    <sheetView workbookViewId="0">
      <selection activeCell="A34" sqref="A34"/>
    </sheetView>
  </sheetViews>
  <sheetFormatPr defaultRowHeight="14.25"/>
  <cols>
    <col min="1" max="1" width="12.25" customWidth="1"/>
    <col min="2" max="2" width="12.5" customWidth="1"/>
    <col min="3" max="3" width="11.875" customWidth="1"/>
    <col min="4" max="4" width="13.125" customWidth="1"/>
    <col min="5" max="5" width="7.625" customWidth="1"/>
    <col min="6" max="6" width="12.125" customWidth="1"/>
    <col min="13" max="13" width="12.125" customWidth="1"/>
  </cols>
  <sheetData>
    <row r="1" spans="1:91" ht="15">
      <c r="A1" s="36" t="s">
        <v>107</v>
      </c>
    </row>
    <row r="2" spans="1:91" ht="15.75">
      <c r="A2" s="37" t="s">
        <v>108</v>
      </c>
      <c r="B2" s="38"/>
      <c r="C2" s="39"/>
      <c r="D2" s="40"/>
      <c r="E2" s="38"/>
      <c r="F2" s="36"/>
      <c r="G2" s="36"/>
      <c r="H2" s="36"/>
      <c r="I2" s="36"/>
      <c r="J2" s="36"/>
      <c r="K2" s="36"/>
      <c r="L2" s="36"/>
    </row>
    <row r="3" spans="1:91" ht="15">
      <c r="A3" s="41" t="s">
        <v>109</v>
      </c>
      <c r="B3" s="39"/>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row>
    <row r="4" spans="1:91" ht="15.75">
      <c r="A4" s="41"/>
      <c r="C4" s="42" t="s">
        <v>110</v>
      </c>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row>
    <row r="5" spans="1:91" ht="15">
      <c r="A5" s="39"/>
      <c r="B5" s="39"/>
      <c r="C5" s="39"/>
      <c r="D5" s="39">
        <f>0.5*A8/(1+B8)</f>
        <v>95.833333333333343</v>
      </c>
      <c r="E5" s="39"/>
      <c r="F5" s="39"/>
      <c r="G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row>
    <row r="6" spans="1:91" ht="15.75">
      <c r="A6" s="39" t="s">
        <v>111</v>
      </c>
      <c r="B6" s="39" t="s">
        <v>112</v>
      </c>
      <c r="C6" s="39" t="s">
        <v>113</v>
      </c>
      <c r="D6" s="39" t="s">
        <v>114</v>
      </c>
      <c r="E6" s="39" t="s">
        <v>115</v>
      </c>
      <c r="F6" s="39" t="s">
        <v>116</v>
      </c>
      <c r="G6" s="39" t="s">
        <v>117</v>
      </c>
      <c r="H6" s="39" t="s">
        <v>118</v>
      </c>
      <c r="I6" s="39" t="s">
        <v>119</v>
      </c>
      <c r="J6" s="39" t="s">
        <v>120</v>
      </c>
      <c r="K6" s="39" t="s">
        <v>121</v>
      </c>
      <c r="L6" s="43" t="s">
        <v>122</v>
      </c>
      <c r="M6" s="39" t="s">
        <v>123</v>
      </c>
      <c r="N6" s="39" t="s">
        <v>124</v>
      </c>
      <c r="Q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row>
    <row r="7" spans="1:91" ht="15.75">
      <c r="A7" s="39" t="s">
        <v>125</v>
      </c>
      <c r="B7" s="39"/>
      <c r="C7" s="39" t="s">
        <v>126</v>
      </c>
      <c r="D7" s="39" t="s">
        <v>127</v>
      </c>
      <c r="E7" s="39" t="s">
        <v>128</v>
      </c>
      <c r="F7" s="39" t="s">
        <v>126</v>
      </c>
      <c r="G7" s="39"/>
      <c r="H7" s="39" t="s">
        <v>129</v>
      </c>
      <c r="I7" s="39" t="s">
        <v>129</v>
      </c>
      <c r="J7" s="39" t="s">
        <v>129</v>
      </c>
      <c r="K7" s="39"/>
      <c r="L7" s="43"/>
      <c r="M7" s="43"/>
      <c r="N7" s="39"/>
      <c r="Q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row>
    <row r="8" spans="1:91" ht="15.75">
      <c r="A8" s="44">
        <v>230</v>
      </c>
      <c r="B8" s="44">
        <v>0.2</v>
      </c>
      <c r="C8" s="44">
        <v>15</v>
      </c>
      <c r="D8" s="44">
        <v>15</v>
      </c>
      <c r="E8" s="44">
        <v>7</v>
      </c>
      <c r="F8" s="44">
        <v>3.17</v>
      </c>
      <c r="G8" s="44">
        <v>0.35499999999999998</v>
      </c>
      <c r="H8" s="44">
        <v>87.1</v>
      </c>
      <c r="I8" s="44">
        <v>140</v>
      </c>
      <c r="J8" s="44">
        <v>60.3</v>
      </c>
      <c r="K8" s="45">
        <v>0.6</v>
      </c>
      <c r="L8" s="46">
        <v>0.3</v>
      </c>
      <c r="M8" s="45">
        <v>0.3</v>
      </c>
      <c r="N8" s="39">
        <f>0.5*C8/E8-1</f>
        <v>7.1428571428571397E-2</v>
      </c>
      <c r="Q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row>
    <row r="9" spans="1:91" ht="15">
      <c r="A9" s="39" t="s">
        <v>130</v>
      </c>
      <c r="B9" s="39" t="s">
        <v>131</v>
      </c>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row>
    <row r="10" spans="1:91" ht="15">
      <c r="A10" s="39">
        <f>(2*C8*F8*B8*B8+A8*(F8*(N8-1)-C8*(2*G8*G8+G8-1)))/(A8*(C8+F8*(1-N8)+C8*G8)-2*C8*F8*B8*B8)</f>
        <v>0.12761111217367177</v>
      </c>
      <c r="B10" s="39">
        <f>((1+N8)*F8-(1+G8)*C8)/(-F8*(1+N8)+(-3+G8+4*G8*G8)*C8)</f>
        <v>0.47672783668149143</v>
      </c>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row>
    <row r="11" spans="1:91" ht="15.75">
      <c r="A11" s="47"/>
      <c r="B11" s="47" t="s">
        <v>132</v>
      </c>
      <c r="C11" s="47"/>
      <c r="D11" s="39"/>
      <c r="E11" s="39"/>
      <c r="F11" s="39"/>
      <c r="G11" s="39"/>
      <c r="H11" s="39"/>
      <c r="I11" s="39"/>
      <c r="J11" s="39"/>
      <c r="K11" s="39"/>
      <c r="L11" s="39"/>
      <c r="M11" s="39"/>
      <c r="N11" s="39"/>
      <c r="O11" s="39"/>
      <c r="P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row>
    <row r="12" spans="1:91" ht="15">
      <c r="A12" s="39" t="s">
        <v>133</v>
      </c>
      <c r="B12" s="39" t="s">
        <v>134</v>
      </c>
      <c r="C12" s="39"/>
      <c r="D12" s="39"/>
      <c r="E12" s="39"/>
      <c r="F12" s="39"/>
      <c r="G12" s="39"/>
      <c r="H12" s="39"/>
      <c r="I12" s="39"/>
      <c r="J12" s="39"/>
      <c r="K12" s="39"/>
      <c r="L12" s="39"/>
      <c r="M12" s="39"/>
      <c r="N12" s="39"/>
      <c r="O12" s="39"/>
      <c r="P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row>
    <row r="13" spans="1:91" ht="15">
      <c r="A13" s="39">
        <f>1+0.5*SQRT(B13)*(A10+(3-B13-SQRT(B13))*B10)</f>
        <v>1.3495313735333336</v>
      </c>
      <c r="B13" s="39">
        <f>K8</f>
        <v>0.6</v>
      </c>
      <c r="C13" s="39"/>
      <c r="D13" s="39"/>
      <c r="E13" s="39"/>
      <c r="F13" s="39"/>
      <c r="G13" s="39"/>
      <c r="H13" s="39"/>
      <c r="I13" s="39"/>
      <c r="J13" s="39"/>
      <c r="K13" s="39"/>
      <c r="L13" s="39"/>
      <c r="M13" s="39"/>
      <c r="N13" s="39"/>
      <c r="O13" s="39"/>
      <c r="P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row>
    <row r="14" spans="1:91" ht="15">
      <c r="A14" s="39" t="s">
        <v>135</v>
      </c>
      <c r="B14" s="39" t="s">
        <v>122</v>
      </c>
      <c r="C14" s="39" t="s">
        <v>136</v>
      </c>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row>
    <row r="15" spans="1:91" ht="15">
      <c r="A15" s="39">
        <f>((B13+C15*B15)*C8+C15*(1-B15)*F8)/(B15*C8+(1-B15)*F8)</f>
        <v>1.7394850424170263</v>
      </c>
      <c r="B15" s="39">
        <f>L8</f>
        <v>0.3</v>
      </c>
      <c r="C15" s="39">
        <f>1-B13</f>
        <v>0.4</v>
      </c>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row>
    <row r="16" spans="1:91" ht="15.75">
      <c r="A16" s="42" t="s">
        <v>137</v>
      </c>
      <c r="B16" s="48"/>
      <c r="C16" s="48"/>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row>
    <row r="17" spans="1:91" ht="15.75">
      <c r="A17" s="42">
        <f>A13*A15</f>
        <v>2.3474896385337387</v>
      </c>
      <c r="B17" s="49"/>
      <c r="C17" s="49"/>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row>
    <row r="18" spans="1:91" ht="15.75">
      <c r="A18" s="50" t="s">
        <v>138</v>
      </c>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row>
    <row r="19" spans="1:91" ht="15">
      <c r="A19" s="39" t="s">
        <v>139</v>
      </c>
      <c r="B19" s="39" t="s">
        <v>140</v>
      </c>
      <c r="C19" s="39"/>
      <c r="D19" s="51"/>
      <c r="E19" s="39"/>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row>
    <row r="20" spans="1:91" ht="15">
      <c r="A20" s="39">
        <f>(I8-H8)/(I8+I8)</f>
        <v>0.18892857142857145</v>
      </c>
      <c r="B20" s="39">
        <f>-K8*K8*(1-2*A20*A20)+(H8+I8)*K8*(1+2*A20)/I8-SQRT(K8)*(2*A20+1-2*A20*A20)</f>
        <v>-5.2382814770139952E-3</v>
      </c>
      <c r="C20" s="39"/>
      <c r="D20" s="39"/>
      <c r="E20" s="39"/>
      <c r="F20" s="39"/>
      <c r="G20" s="39"/>
      <c r="H20" s="39"/>
      <c r="I20" s="39"/>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row>
    <row r="21" spans="1:91" ht="15.75">
      <c r="A21" s="42" t="s">
        <v>141</v>
      </c>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row>
    <row r="22" spans="1:91" ht="15.75">
      <c r="A22" s="42">
        <f>(1-0.5*SQRT(K8)*A10*A20+0.5*B10*B20/(1-SQRT(K8)))*A15</f>
        <v>1.7136067148257628</v>
      </c>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row>
    <row r="23" spans="1:91" ht="15">
      <c r="A23" s="50" t="s">
        <v>142</v>
      </c>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row>
    <row r="24" spans="1:91" ht="15.75">
      <c r="A24" s="42" t="s">
        <v>143</v>
      </c>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row>
    <row r="25" spans="1:91" ht="15.75">
      <c r="A25" s="42">
        <f>2*J8*SQRT(A17*A22/(H8*I8))</f>
        <v>2.1904413644818801</v>
      </c>
      <c r="B25" s="48"/>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39"/>
      <c r="AD25" s="39"/>
      <c r="AE25" s="39"/>
      <c r="AF25" s="39"/>
      <c r="AG25" s="39"/>
      <c r="AH25" s="39"/>
      <c r="AI25" s="39"/>
      <c r="AJ25" s="39"/>
      <c r="AK25" s="39"/>
      <c r="AL25" s="39"/>
      <c r="AM25" s="39"/>
      <c r="AN25" s="39"/>
      <c r="AO25" s="39"/>
      <c r="AP25" s="39"/>
      <c r="AQ25" s="39"/>
      <c r="AR25" s="39"/>
      <c r="AS25" s="39"/>
      <c r="AT25" s="39"/>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c r="CC25" s="39"/>
      <c r="CD25" s="39"/>
      <c r="CE25" s="39"/>
      <c r="CF25" s="39"/>
      <c r="CG25" s="39"/>
      <c r="CH25" s="39"/>
      <c r="CI25" s="39"/>
      <c r="CJ25" s="39"/>
      <c r="CK25" s="39"/>
      <c r="CL25" s="39"/>
      <c r="CM25" s="39"/>
    </row>
    <row r="26" spans="1:91" ht="15.75">
      <c r="B26" s="47" t="s">
        <v>144</v>
      </c>
      <c r="C26" s="39"/>
      <c r="D26" s="39"/>
      <c r="E26" s="39"/>
      <c r="F26" s="39"/>
      <c r="G26" s="39"/>
      <c r="H26" s="39"/>
      <c r="I26" s="39"/>
      <c r="J26" s="39"/>
      <c r="K26" s="39"/>
      <c r="L26" s="39"/>
      <c r="M26" s="39"/>
      <c r="N26" s="39"/>
      <c r="O26" s="39"/>
      <c r="P26" s="39"/>
      <c r="Q26" s="39"/>
      <c r="R26" s="39"/>
      <c r="S26" s="39"/>
      <c r="T26" s="39"/>
      <c r="U26" s="39"/>
      <c r="V26" s="39"/>
      <c r="W26" s="39"/>
      <c r="X26" s="39"/>
      <c r="Y26" s="39"/>
      <c r="Z26" s="39"/>
      <c r="AA26" s="39"/>
      <c r="AB26" s="39"/>
      <c r="AC26" s="39"/>
      <c r="AD26" s="39"/>
      <c r="AE26" s="39"/>
      <c r="AF26" s="39"/>
      <c r="AG26" s="39"/>
      <c r="AH26" s="39"/>
      <c r="AI26" s="39"/>
      <c r="AJ26" s="39"/>
      <c r="AK26" s="39"/>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row>
    <row r="27" spans="1:91" ht="15.75">
      <c r="A27" s="52" t="s">
        <v>145</v>
      </c>
      <c r="B27" s="52" t="s">
        <v>146</v>
      </c>
      <c r="C27" s="52" t="s">
        <v>147</v>
      </c>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c r="CC27" s="39"/>
      <c r="CD27" s="39"/>
      <c r="CE27" s="39"/>
      <c r="CF27" s="39"/>
      <c r="CG27" s="39"/>
      <c r="CH27" s="39"/>
      <c r="CI27" s="39"/>
      <c r="CJ27" s="39"/>
      <c r="CK27" s="39"/>
      <c r="CL27" s="39"/>
      <c r="CM27" s="39"/>
    </row>
    <row r="28" spans="1:91" ht="15.75">
      <c r="A28" s="52">
        <f>1-K8*(D8-C28)*(3.1416*SQRT(K8)*(0.25/K8-4/128-2*K8/512-5*K8*K8/4096)-1/3)/(D8+C28)</f>
        <v>0.69321747781794274</v>
      </c>
      <c r="B28" s="52">
        <f>((K8+(1-K8)*M8)*D8+(1-M8)*(1-K8)*C28)/(M8*D8+(1-M8)*C28)</f>
        <v>2.0921048980158177</v>
      </c>
      <c r="C28" s="39">
        <f>0.5*F8/(1+G8)</f>
        <v>1.1697416974169741</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c r="CC28" s="39"/>
      <c r="CD28" s="39"/>
      <c r="CE28" s="39"/>
      <c r="CF28" s="39"/>
      <c r="CG28" s="39"/>
      <c r="CH28" s="39"/>
      <c r="CI28" s="39"/>
      <c r="CJ28" s="39"/>
      <c r="CK28" s="39"/>
      <c r="CL28" s="39"/>
      <c r="CM28" s="39"/>
    </row>
    <row r="29" spans="1:91" ht="15.75">
      <c r="A29" s="42" t="s">
        <v>148</v>
      </c>
      <c r="B29" s="52"/>
      <c r="C29" s="39"/>
      <c r="D29" s="39"/>
      <c r="E29" s="39"/>
      <c r="F29" s="39"/>
      <c r="G29" s="39"/>
      <c r="H29" s="39"/>
      <c r="I29" s="39"/>
      <c r="J29" s="39"/>
      <c r="K29" s="39"/>
      <c r="L29" s="39"/>
      <c r="M29" s="39"/>
      <c r="N29" s="39"/>
      <c r="O29" s="39"/>
      <c r="P29" s="39"/>
      <c r="Q29" s="39"/>
      <c r="R29" s="39"/>
      <c r="S29" s="39"/>
      <c r="T29" s="39"/>
      <c r="U29" s="39"/>
      <c r="V29" s="39"/>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row>
    <row r="30" spans="1:91" ht="15.75">
      <c r="A30" s="42">
        <f>A28*B28</f>
        <v>1.4502836807330894</v>
      </c>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c r="CC30" s="39"/>
      <c r="CD30" s="39"/>
      <c r="CE30" s="39"/>
      <c r="CF30" s="39"/>
      <c r="CG30" s="39"/>
      <c r="CH30" s="39"/>
      <c r="CI30" s="39"/>
      <c r="CJ30" s="39"/>
      <c r="CK30" s="39"/>
      <c r="CL30" s="39"/>
      <c r="CM30" s="39"/>
    </row>
    <row r="31" spans="1:91" ht="15">
      <c r="A31" s="39"/>
      <c r="B31" s="39"/>
      <c r="C31" s="39"/>
      <c r="D31" s="51"/>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row>
    <row r="32" spans="1:91" ht="15.75">
      <c r="A32" s="49"/>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L32" s="39"/>
      <c r="AM32" s="39"/>
      <c r="AN32" s="39"/>
      <c r="AO32" s="39"/>
      <c r="AP32" s="39"/>
      <c r="AQ32" s="39"/>
      <c r="AR32" s="39"/>
      <c r="AS32" s="39"/>
      <c r="AT32" s="39"/>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c r="CC32" s="39"/>
      <c r="CD32" s="39"/>
      <c r="CE32" s="39"/>
      <c r="CF32" s="39"/>
      <c r="CG32" s="39"/>
      <c r="CH32" s="39"/>
      <c r="CI32" s="39"/>
      <c r="CJ32" s="39"/>
      <c r="CK32" s="39"/>
      <c r="CL32" s="39"/>
      <c r="CM32" s="39"/>
    </row>
    <row r="33" spans="1:91" ht="15">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c r="CC33" s="39"/>
      <c r="CD33" s="39"/>
      <c r="CE33" s="39"/>
      <c r="CF33" s="39"/>
      <c r="CG33" s="39"/>
      <c r="CH33" s="39"/>
      <c r="CI33" s="39"/>
      <c r="CJ33" s="39"/>
      <c r="CK33" s="39"/>
      <c r="CL33" s="39"/>
      <c r="CM33" s="39"/>
    </row>
    <row r="34" spans="1:91">
      <c r="A34" s="9"/>
      <c r="B34" s="11"/>
      <c r="C34" s="1"/>
      <c r="D34" s="1"/>
      <c r="E34" s="1"/>
      <c r="F34" s="1"/>
      <c r="G34" s="1"/>
      <c r="H34" s="1"/>
      <c r="I34" s="1"/>
      <c r="J34" s="10"/>
      <c r="K34" s="1"/>
      <c r="M34" s="1"/>
    </row>
    <row r="35" spans="1:91">
      <c r="A35" s="9"/>
      <c r="B35" s="11"/>
      <c r="C35" s="1"/>
      <c r="D35" s="1"/>
      <c r="E35" s="1"/>
      <c r="F35" s="1"/>
      <c r="G35" s="1"/>
      <c r="H35" s="1"/>
      <c r="I35" s="1"/>
      <c r="J35" s="10"/>
      <c r="K35" s="1"/>
      <c r="M35" s="1"/>
    </row>
    <row r="36" spans="1:91">
      <c r="A36" s="9"/>
      <c r="B36" s="11"/>
      <c r="C36" s="1"/>
      <c r="D36" s="1"/>
      <c r="E36" s="1"/>
      <c r="F36" s="1"/>
      <c r="G36" s="1"/>
      <c r="H36" s="1"/>
      <c r="I36" s="1"/>
      <c r="J36" s="10"/>
      <c r="K36" s="1"/>
      <c r="M36" s="1"/>
    </row>
    <row r="37" spans="1:91">
      <c r="A37" s="9"/>
      <c r="B37" s="11"/>
      <c r="C37" s="1"/>
      <c r="D37" s="1"/>
      <c r="E37" s="1"/>
      <c r="F37" s="1"/>
      <c r="G37" s="1"/>
      <c r="H37" s="1"/>
      <c r="I37" s="1"/>
      <c r="J37" s="10"/>
      <c r="K37" s="1"/>
      <c r="M37" s="1"/>
    </row>
    <row r="38" spans="1:91">
      <c r="A38" s="9"/>
      <c r="B38" s="11"/>
      <c r="C38" s="1"/>
      <c r="D38" s="1"/>
      <c r="E38" s="1"/>
      <c r="F38" s="1"/>
      <c r="G38" s="1"/>
      <c r="H38" s="1"/>
      <c r="I38" s="1"/>
      <c r="J38" s="10"/>
      <c r="K38" s="1"/>
      <c r="M38" s="1"/>
    </row>
    <row r="39" spans="1:91">
      <c r="A39" s="9"/>
      <c r="B39" s="11"/>
      <c r="C39" s="1"/>
      <c r="D39" s="1"/>
      <c r="E39" s="1"/>
      <c r="F39" s="1"/>
      <c r="G39" s="1"/>
      <c r="H39" s="1"/>
      <c r="I39" s="1"/>
      <c r="J39" s="10"/>
      <c r="K39" s="1"/>
      <c r="M39" s="1"/>
    </row>
    <row r="40" spans="1:91">
      <c r="K40" s="1"/>
    </row>
  </sheetData>
  <phoneticPr fontId="1" type="noConversion"/>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zoomScale="110" zoomScaleNormal="110" workbookViewId="0">
      <selection activeCell="A20" sqref="A20"/>
    </sheetView>
  </sheetViews>
  <sheetFormatPr defaultRowHeight="14.25"/>
  <cols>
    <col min="2" max="2" width="10.625" customWidth="1"/>
  </cols>
  <sheetData>
    <row r="1" spans="1:11" ht="15" thickBot="1"/>
    <row r="2" spans="1:11" ht="15.75">
      <c r="A2" s="12" t="s">
        <v>89</v>
      </c>
      <c r="C2" s="13" t="s">
        <v>64</v>
      </c>
      <c r="D2" s="13" t="s">
        <v>64</v>
      </c>
      <c r="E2" s="14" t="s">
        <v>65</v>
      </c>
      <c r="F2" s="15" t="s">
        <v>66</v>
      </c>
      <c r="G2" s="15" t="s">
        <v>67</v>
      </c>
      <c r="H2" s="15" t="s">
        <v>66</v>
      </c>
      <c r="I2" s="15" t="s">
        <v>68</v>
      </c>
      <c r="J2" s="15" t="s">
        <v>69</v>
      </c>
      <c r="K2" s="16" t="s">
        <v>70</v>
      </c>
    </row>
    <row r="3" spans="1:11" ht="16.5" thickBot="1">
      <c r="C3" s="13" t="s">
        <v>71</v>
      </c>
      <c r="D3" s="13" t="s">
        <v>72</v>
      </c>
      <c r="E3" s="17" t="s">
        <v>73</v>
      </c>
      <c r="F3" s="18" t="s">
        <v>74</v>
      </c>
      <c r="G3" s="19" t="s">
        <v>75</v>
      </c>
      <c r="H3" s="18" t="s">
        <v>76</v>
      </c>
      <c r="I3" s="18" t="s">
        <v>77</v>
      </c>
      <c r="J3" s="18" t="s">
        <v>77</v>
      </c>
      <c r="K3" s="20">
        <v>5260</v>
      </c>
    </row>
    <row r="4" spans="1:11" ht="18" thickBot="1">
      <c r="A4" t="s">
        <v>90</v>
      </c>
      <c r="B4" s="21" t="s">
        <v>78</v>
      </c>
      <c r="C4" s="22">
        <v>80</v>
      </c>
      <c r="D4" s="22">
        <v>74</v>
      </c>
      <c r="E4" s="22">
        <v>225</v>
      </c>
      <c r="F4" s="22">
        <v>230</v>
      </c>
      <c r="G4" s="23">
        <v>276</v>
      </c>
      <c r="H4" s="23">
        <v>230</v>
      </c>
      <c r="I4" s="23">
        <v>231</v>
      </c>
      <c r="J4" s="23">
        <v>87</v>
      </c>
      <c r="K4" s="22">
        <v>290</v>
      </c>
    </row>
    <row r="5" spans="1:11" ht="18" thickBot="1">
      <c r="B5" s="24" t="s">
        <v>79</v>
      </c>
      <c r="C5" s="25">
        <v>80</v>
      </c>
      <c r="D5" s="25">
        <v>74</v>
      </c>
      <c r="E5" s="25">
        <v>15</v>
      </c>
      <c r="F5" s="25">
        <v>15</v>
      </c>
      <c r="G5" s="26">
        <v>19</v>
      </c>
      <c r="H5" s="26">
        <v>15</v>
      </c>
      <c r="I5" s="26">
        <v>15</v>
      </c>
      <c r="J5" s="26">
        <v>87</v>
      </c>
      <c r="K5" s="25">
        <v>19</v>
      </c>
    </row>
    <row r="6" spans="1:11" ht="18" thickBot="1">
      <c r="B6" s="27" t="s">
        <v>80</v>
      </c>
      <c r="C6" s="25">
        <v>0.2</v>
      </c>
      <c r="D6" s="25">
        <v>0.2</v>
      </c>
      <c r="E6" s="25">
        <v>0.2</v>
      </c>
      <c r="F6" s="25">
        <v>0.2</v>
      </c>
      <c r="G6" s="26">
        <v>0.2</v>
      </c>
      <c r="H6" s="26">
        <v>0.2</v>
      </c>
      <c r="I6" s="26">
        <v>0.2</v>
      </c>
      <c r="J6" s="26">
        <v>0.2</v>
      </c>
      <c r="K6" s="25">
        <v>0.2</v>
      </c>
    </row>
    <row r="7" spans="1:11" ht="18" thickBot="1">
      <c r="B7" s="24" t="s">
        <v>81</v>
      </c>
      <c r="C7" s="25">
        <v>33.33</v>
      </c>
      <c r="D7" s="25">
        <v>30.8</v>
      </c>
      <c r="E7" s="25">
        <v>15</v>
      </c>
      <c r="F7" s="25">
        <v>15</v>
      </c>
      <c r="G7" s="26">
        <v>27</v>
      </c>
      <c r="H7" s="26">
        <v>15</v>
      </c>
      <c r="I7" s="26">
        <v>15</v>
      </c>
      <c r="J7" s="26">
        <v>36.299999999999997</v>
      </c>
      <c r="K7" s="25">
        <v>27</v>
      </c>
    </row>
    <row r="8" spans="1:11" ht="18" thickBot="1">
      <c r="B8" s="27" t="s">
        <v>82</v>
      </c>
      <c r="C8" s="25">
        <v>0.2</v>
      </c>
      <c r="D8" s="25">
        <v>0.2</v>
      </c>
      <c r="E8" s="25">
        <v>7.0000000000000007E-2</v>
      </c>
      <c r="F8" s="25">
        <v>7.0000000000000007E-2</v>
      </c>
      <c r="G8" s="26">
        <v>0.36</v>
      </c>
      <c r="H8" s="26">
        <v>7.0000000000000007E-2</v>
      </c>
      <c r="I8" s="26">
        <v>7.0000000000000007E-2</v>
      </c>
      <c r="J8" s="26">
        <v>0.2</v>
      </c>
      <c r="K8" s="25">
        <v>0.35699999999999998</v>
      </c>
    </row>
    <row r="9" spans="1:11" ht="18.75" customHeight="1" thickBot="1">
      <c r="B9" s="28" t="s">
        <v>83</v>
      </c>
      <c r="C9" s="25">
        <v>2150</v>
      </c>
      <c r="D9" s="25">
        <v>2150</v>
      </c>
      <c r="E9" s="25">
        <v>3350</v>
      </c>
      <c r="F9" s="25">
        <v>2500</v>
      </c>
      <c r="G9" s="26">
        <v>5180</v>
      </c>
      <c r="H9" s="26">
        <v>2500</v>
      </c>
      <c r="I9" s="26">
        <v>3500</v>
      </c>
      <c r="J9" s="26">
        <v>2850</v>
      </c>
      <c r="K9" s="25">
        <v>5860</v>
      </c>
    </row>
    <row r="10" spans="1:11" ht="19.5" customHeight="1" thickBot="1">
      <c r="B10" s="28" t="s">
        <v>84</v>
      </c>
      <c r="C10" s="25">
        <v>1450</v>
      </c>
      <c r="D10" s="25">
        <v>1450</v>
      </c>
      <c r="E10" s="25">
        <v>2500</v>
      </c>
      <c r="F10" s="25">
        <v>2000</v>
      </c>
      <c r="G10" s="26">
        <v>3200</v>
      </c>
      <c r="H10" s="26">
        <v>2000</v>
      </c>
      <c r="I10" s="26">
        <v>3000</v>
      </c>
      <c r="J10" s="26">
        <v>2450</v>
      </c>
      <c r="K10" s="25">
        <v>3200</v>
      </c>
    </row>
    <row r="11" spans="1:11" ht="16.5" thickBot="1">
      <c r="A11" t="s">
        <v>91</v>
      </c>
      <c r="B11" s="21" t="s">
        <v>85</v>
      </c>
      <c r="C11" s="13">
        <v>3.35</v>
      </c>
      <c r="D11" s="22">
        <v>3.35</v>
      </c>
      <c r="E11" s="22">
        <v>4.2</v>
      </c>
      <c r="F11" s="22">
        <v>4</v>
      </c>
      <c r="G11" s="22">
        <v>4.08</v>
      </c>
      <c r="H11" s="22">
        <v>0.95</v>
      </c>
      <c r="I11" s="22">
        <v>3.2</v>
      </c>
      <c r="J11" s="22">
        <v>3.2</v>
      </c>
      <c r="K11" s="22">
        <v>3.45</v>
      </c>
    </row>
    <row r="12" spans="1:11" ht="16.5" thickBot="1">
      <c r="B12" s="27" t="s">
        <v>86</v>
      </c>
      <c r="C12" s="22">
        <v>0.35</v>
      </c>
      <c r="D12" s="25">
        <v>0.35</v>
      </c>
      <c r="E12" s="25">
        <v>0.34</v>
      </c>
      <c r="F12" s="25">
        <v>0.35</v>
      </c>
      <c r="G12" s="22">
        <v>0.38</v>
      </c>
      <c r="H12" s="22">
        <v>0.35</v>
      </c>
      <c r="I12" s="22">
        <v>0.35</v>
      </c>
      <c r="J12" s="22">
        <v>0.35</v>
      </c>
      <c r="K12" s="22">
        <v>0.35</v>
      </c>
    </row>
    <row r="13" spans="1:11" ht="18" customHeight="1" thickBot="1">
      <c r="B13" s="29" t="s">
        <v>87</v>
      </c>
      <c r="C13" s="25">
        <v>80</v>
      </c>
      <c r="D13" s="25">
        <v>80</v>
      </c>
      <c r="E13" s="25">
        <v>69</v>
      </c>
      <c r="F13" s="25">
        <v>75</v>
      </c>
      <c r="G13" s="26">
        <v>99</v>
      </c>
      <c r="H13" s="26">
        <v>70</v>
      </c>
      <c r="I13" s="26">
        <v>85</v>
      </c>
      <c r="J13" s="26">
        <v>73</v>
      </c>
      <c r="K13" s="25">
        <v>70</v>
      </c>
    </row>
    <row r="14" spans="1:11" ht="20.25" customHeight="1" thickBot="1">
      <c r="B14" s="28" t="s">
        <v>84</v>
      </c>
      <c r="C14" s="25">
        <v>120</v>
      </c>
      <c r="D14" s="25">
        <v>120</v>
      </c>
      <c r="E14" s="25">
        <v>250</v>
      </c>
      <c r="F14" s="25">
        <v>150</v>
      </c>
      <c r="G14" s="26">
        <v>130</v>
      </c>
      <c r="H14" s="26">
        <v>130</v>
      </c>
      <c r="I14" s="26">
        <v>120</v>
      </c>
      <c r="J14" s="26">
        <v>120</v>
      </c>
      <c r="K14" s="25">
        <v>130</v>
      </c>
    </row>
    <row r="15" spans="1:11" ht="21.75" customHeight="1" thickBot="1">
      <c r="B15" s="28" t="s">
        <v>88</v>
      </c>
      <c r="C15" s="25">
        <v>54</v>
      </c>
      <c r="D15" s="25">
        <v>54</v>
      </c>
      <c r="E15" s="25">
        <v>50</v>
      </c>
      <c r="F15" s="25">
        <v>70</v>
      </c>
      <c r="G15" s="26">
        <v>57</v>
      </c>
      <c r="H15" s="26">
        <v>41</v>
      </c>
      <c r="I15" s="26">
        <v>50</v>
      </c>
      <c r="J15" s="26">
        <v>52</v>
      </c>
      <c r="K15" s="25">
        <v>57</v>
      </c>
    </row>
    <row r="16" spans="1:11" ht="16.5" thickBot="1">
      <c r="A16" s="34" t="s">
        <v>92</v>
      </c>
      <c r="B16" s="35" t="s">
        <v>93</v>
      </c>
      <c r="C16" s="23">
        <v>0.62</v>
      </c>
      <c r="D16" s="30">
        <v>0.6</v>
      </c>
      <c r="E16" s="30">
        <v>0.6</v>
      </c>
      <c r="F16" s="30">
        <v>0.6</v>
      </c>
      <c r="G16" s="30">
        <v>0.6</v>
      </c>
      <c r="H16" s="30">
        <v>0.6</v>
      </c>
      <c r="I16" s="30">
        <v>0.6</v>
      </c>
      <c r="J16" s="30">
        <v>0.6</v>
      </c>
      <c r="K16" s="31">
        <v>0.6</v>
      </c>
    </row>
  </sheetData>
  <phoneticPr fontId="1" type="noConversion"/>
  <pageMargins left="0.75" right="0.75" top="1" bottom="1" header="0.5" footer="0.5"/>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9a55510-d529-45fb-9745-b5a8b28624b1" xsi:nil="true"/>
    <lcf76f155ced4ddcb4097134ff3c332f xmlns="fd37e1dd-d671-484c-8aab-7dd48ce675e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E85A01F3C713245917A83056A9BD367" ma:contentTypeVersion="15" ma:contentTypeDescription="Create a new document." ma:contentTypeScope="" ma:versionID="24deffcf651386ae9c2605bf0f36ab84">
  <xsd:schema xmlns:xsd="http://www.w3.org/2001/XMLSchema" xmlns:xs="http://www.w3.org/2001/XMLSchema" xmlns:p="http://schemas.microsoft.com/office/2006/metadata/properties" xmlns:ns2="e9a55510-d529-45fb-9745-b5a8b28624b1" xmlns:ns3="fd37e1dd-d671-484c-8aab-7dd48ce675ee" targetNamespace="http://schemas.microsoft.com/office/2006/metadata/properties" ma:root="true" ma:fieldsID="e1ae4abb915f2f49fc986612f2b7cd8c" ns2:_="" ns3:_="">
    <xsd:import namespace="e9a55510-d529-45fb-9745-b5a8b28624b1"/>
    <xsd:import namespace="fd37e1dd-d671-484c-8aab-7dd48ce675e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GenerationTime" minOccurs="0"/>
                <xsd:element ref="ns3:MediaServiceEventHashCode" minOccurs="0"/>
                <xsd:element ref="ns3:MediaServiceDateTaken" minOccurs="0"/>
                <xsd:element ref="ns3:MediaLengthInSeconds" minOccurs="0"/>
                <xsd:element ref="ns3:MediaServiceOCR"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a55510-d529-45fb-9745-b5a8b28624b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2a4907e7-16d1-421d-bffb-5992e357d025}" ma:internalName="TaxCatchAll" ma:showField="CatchAllData" ma:web="e9a55510-d529-45fb-9745-b5a8b28624b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d37e1dd-d671-484c-8aab-7dd48ce675e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4661dae-d6df-48fc-a54e-a577d2899e9c"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8E7B90-3189-41C5-AEE9-909FFAB057EC}">
  <ds:schemaRefs>
    <ds:schemaRef ds:uri="http://purl.org/dc/elements/1.1/"/>
    <ds:schemaRef ds:uri="fd37e1dd-d671-484c-8aab-7dd48ce675ee"/>
    <ds:schemaRef ds:uri="http://purl.org/dc/terms/"/>
    <ds:schemaRef ds:uri="http://schemas.microsoft.com/office/infopath/2007/PartnerControls"/>
    <ds:schemaRef ds:uri="e9a55510-d529-45fb-9745-b5a8b28624b1"/>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ED928DC4-9CFD-445A-9B2A-6AFCEAC7ADEF}">
  <ds:schemaRefs>
    <ds:schemaRef ds:uri="http://schemas.microsoft.com/sharepoint/v3/contenttype/forms"/>
  </ds:schemaRefs>
</ds:datastoreItem>
</file>

<file path=customXml/itemProps3.xml><?xml version="1.0" encoding="utf-8"?>
<ds:datastoreItem xmlns:ds="http://schemas.openxmlformats.org/officeDocument/2006/customXml" ds:itemID="{8368EAAC-A7E3-4AE5-BB9B-2F6237D0D87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a55510-d529-45fb-9745-b5a8b28624b1"/>
    <ds:schemaRef ds:uri="fd37e1dd-d671-484c-8aab-7dd48ce675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Licence CC BY-NC-SA</vt:lpstr>
      <vt:lpstr>Sheet1</vt:lpstr>
      <vt:lpstr>Sheet2</vt:lpstr>
      <vt:lpstr>Sheet3</vt:lpstr>
    </vt:vector>
  </TitlesOfParts>
  <Company>TJU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HZM</dc:creator>
  <cp:lastModifiedBy>Anthony, David B</cp:lastModifiedBy>
  <dcterms:created xsi:type="dcterms:W3CDTF">2024-03-26T14:00:32Z</dcterms:created>
  <dcterms:modified xsi:type="dcterms:W3CDTF">2024-04-15T18:03:55Z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0x0101002E85A01F3C713245917A83056A9BD367</vt:lpwstr>
  </property>
  <property fmtid="{D5CDD505-2E9C-101B-9397-08002B2CF9AE}" pid="3" name="MediaServiceImageTags">
    <vt:lpwstr/>
  </property>
</Properties>
</file>